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0" windowWidth="9600" windowHeight="11640" activeTab="0"/>
  </bookViews>
  <sheets>
    <sheet name="Toelichting" sheetId="1" r:id="rId1"/>
    <sheet name="Tabel" sheetId="2" r:id="rId2"/>
    <sheet name="Grafiek" sheetId="3" r:id="rId3"/>
    <sheet name="KlimplanningMontVentoux" sheetId="4" r:id="rId4"/>
    <sheet name="Cols" sheetId="5" r:id="rId5"/>
    <sheet name="GebruikteRelaties" sheetId="6" r:id="rId6"/>
  </sheets>
  <definedNames>
    <definedName name="_xlnm.Print_Area" localSheetId="4">'Cols'!$B$4:$L$55</definedName>
    <definedName name="_xlnm.Print_Area" localSheetId="5">'GebruikteRelaties'!$B$1:$M$58</definedName>
    <definedName name="_xlnm.Print_Area" localSheetId="3">'KlimplanningMontVentoux'!$B$16:$AJ$55</definedName>
    <definedName name="_xlnm.Print_Area" localSheetId="1">'Tabel'!$B$1:$T$55</definedName>
    <definedName name="_xlnm.Print_Area" localSheetId="0">'Toelichting'!$B$1:$N$87</definedName>
    <definedName name="_xlnm.Print_Titles" localSheetId="3">'KlimplanningMontVentoux'!$4:$15</definedName>
    <definedName name="Bedoin">'Cols'!$B$58:$N$90</definedName>
    <definedName name="Cf">'GebruikteRelaties'!$L$8</definedName>
    <definedName name="Cols">'Cols'!$B$58:$N$90</definedName>
    <definedName name="Cr">'GebruikteRelaties'!$L$32</definedName>
    <definedName name="Fmax">'Tabel'!$H$54</definedName>
    <definedName name="Fmin">'Tabel'!$H$53</definedName>
    <definedName name="Gfiets">'Tabel'!$F$8</definedName>
    <definedName name="Gpers">'Tabel'!$F$5</definedName>
    <definedName name="Gtot">'Tabel'!$F$9</definedName>
    <definedName name="LijstCols">'Cols'!$B$58:$N$58</definedName>
    <definedName name="MaxVermogen">'Tabel'!$F$12</definedName>
    <definedName name="Omtrek">'Tabel'!$F$10</definedName>
    <definedName name="Opp">'GebruikteRelaties'!$L$20</definedName>
    <definedName name="Rho">'GebruikteRelaties'!$L$21</definedName>
    <definedName name="speling">'Tabel'!$H$55</definedName>
    <definedName name="Tabel1">'Tabel'!$I$6:$T$25</definedName>
    <definedName name="Vdif">'Tabel'!$F$16</definedName>
    <definedName name="VerhKjPerKg">'Tabel'!$F$22</definedName>
    <definedName name="vermogen">'Tabel'!$F$14</definedName>
    <definedName name="VerzetIfvSnelheid">'Tabel'!$V$29:$Z$40</definedName>
    <definedName name="VerzetMin">'Tabel'!$Y$29</definedName>
    <definedName name="VerzetMinM">'Tabel'!$Z$29</definedName>
    <definedName name="VlookupSnelheid">'Tabel'!$X$7:$Y$24</definedName>
    <definedName name="Vmax">'Tabel'!$F$11</definedName>
    <definedName name="VmaxKlim">'Tabel'!$F$17</definedName>
    <definedName name="Vwind">'Tabel'!$F$15</definedName>
  </definedNames>
  <calcPr fullCalcOnLoad="1"/>
</workbook>
</file>

<file path=xl/sharedStrings.xml><?xml version="1.0" encoding="utf-8"?>
<sst xmlns="http://schemas.openxmlformats.org/spreadsheetml/2006/main" count="376" uniqueCount="225">
  <si>
    <t>Deze worden hieronder toegelicht.</t>
  </si>
  <si>
    <r>
      <t xml:space="preserve">Het </t>
    </r>
    <r>
      <rPr>
        <i/>
        <sz val="10"/>
        <rFont val="Arial"/>
        <family val="2"/>
      </rPr>
      <t>benodigd vermogen</t>
    </r>
    <r>
      <rPr>
        <sz val="10"/>
        <rFont val="Arial"/>
        <family val="0"/>
      </rPr>
      <t xml:space="preserve"> (benodigde energie per tijdseenheid) om een bepaalde snelheid te handhaven</t>
    </r>
  </si>
  <si>
    <t>De luchtweerstand</t>
  </si>
  <si>
    <t>Het vermogen dat geleverd moet worden om de luchtweerstand te overwinnen bij een bepaalde fietssnelheid</t>
  </si>
  <si>
    <t>wordt bepaald door drie factoren:</t>
  </si>
  <si>
    <t>toelichting:</t>
  </si>
  <si>
    <t>gewicht fiets + toebehoren</t>
  </si>
  <si>
    <t>gereduceerd vermogen</t>
  </si>
  <si>
    <t>drank, materiaal, kledij, …</t>
  </si>
  <si>
    <t>gewicht fietser</t>
  </si>
  <si>
    <t>km</t>
  </si>
  <si>
    <t>Alleen de licht oranje vakken moeten worden ingevuld.</t>
  </si>
  <si>
    <t>hier kies je ook de minimum en maximum frequentie waarvoor je in tabel2 een kleurindicatie krijgt</t>
  </si>
  <si>
    <t>verder zie je de snelheid die overeenstemt met het verzet en de gekozen frequentie</t>
  </si>
  <si>
    <t>je kan hier ook een speling naar onder en naar boven opgeven</t>
  </si>
  <si>
    <t>Invoerdata</t>
  </si>
  <si>
    <t>deze kilo's moet je ook meenemen</t>
  </si>
  <si>
    <t>snelheidstoename</t>
  </si>
  <si>
    <t>dit wordt berekend</t>
  </si>
  <si>
    <t>het getal waarmee je de snelheid wil laten variëren</t>
  </si>
  <si>
    <t>hiervoor moet je wel de tabel "Uw verzetten" invullen</t>
  </si>
  <si>
    <t>stijgingspercentage</t>
  </si>
  <si>
    <t>snelheid(km/uur)</t>
  </si>
  <si>
    <t xml:space="preserve"> </t>
  </si>
  <si>
    <t>trapfrequentie(1/min)</t>
  </si>
  <si>
    <t>J/s</t>
  </si>
  <si>
    <t>snelheid</t>
  </si>
  <si>
    <t>(km/uur)</t>
  </si>
  <si>
    <t>Toelichting Wielrengrafiek</t>
  </si>
  <si>
    <t>de snelheid (in km/uur) en bij verschillende stijgingspercentages.</t>
  </si>
  <si>
    <t>Als invoer kan het eigen gewicht, het fietsgewicht, de gemiddelde windsnelheid</t>
  </si>
  <si>
    <t>en de eigen gemiddelde maximale uursnelheid worden opgegeven.</t>
  </si>
  <si>
    <t xml:space="preserve">Het vermogen is gegeven in J/s (100 J/s = 86 kcal/uur). Dit is netto vermogen, het </t>
  </si>
  <si>
    <t>Als 'toetje' is ook nog de frequentie als functie van het verzet in een tabel gegeven.</t>
  </si>
  <si>
    <r>
      <t>De grafiek geeft een</t>
    </r>
    <r>
      <rPr>
        <i/>
        <sz val="10"/>
        <rFont val="Arial"/>
        <family val="2"/>
      </rPr>
      <t xml:space="preserve"> indicatie </t>
    </r>
    <r>
      <rPr>
        <sz val="10"/>
        <rFont val="Arial"/>
        <family val="0"/>
      </rPr>
      <t>van het benodigde netto vermogen als functie van</t>
    </r>
  </si>
  <si>
    <t>lichaam verbruikt enige malen meer energie.</t>
  </si>
  <si>
    <t>tabel 1</t>
  </si>
  <si>
    <t>tabel2</t>
  </si>
  <si>
    <t>vermogen (J/s) als functie van snelheid en stijgingspercentage</t>
  </si>
  <si>
    <t>Het programma berekent op grond daarvan welke prestaties geleverd kunnen worden</t>
  </si>
  <si>
    <t>als functie van verschillende stijgingspercentages en bij de opgegeven windsnelheid.</t>
  </si>
  <si>
    <t>Indien  het benodigd vermogen groter is dan het vermogen van het berekende max.uurgemiddelde</t>
  </si>
  <si>
    <t>Toelichting bij gebruikte relaties</t>
  </si>
  <si>
    <t xml:space="preserve"> - het stijgen (of dalen) van de weg: voor het stijgen moet energie worden geleverd, bij het dalen komt energie vrij.</t>
  </si>
  <si>
    <t>als je de snelheden bij je minimale trapfrequentie noteert weet je wanneer je zeker kleiner moet schakelen</t>
  </si>
  <si>
    <t>als de reductiecoëfficiënt op 100% staat wordt hier de allersnelste tijd berekend die voor u mogelijk is</t>
  </si>
  <si>
    <t>als je # of #N/B krijgt moet je de laagste snelheid aanpassen in tabel 1</t>
  </si>
  <si>
    <t>v</t>
  </si>
  <si>
    <t>t</t>
  </si>
  <si>
    <t>verzet</t>
  </si>
  <si>
    <t>afstand</t>
  </si>
  <si>
    <t>maximaal verzet bij Fmax</t>
  </si>
  <si>
    <t>tot</t>
  </si>
  <si>
    <t>de volgorde in de 1e kolom moet alfanumeriek zijn</t>
  </si>
  <si>
    <t>F</t>
  </si>
  <si>
    <t>gemiddelde snelheid</t>
  </si>
  <si>
    <t>trapfrequentie</t>
  </si>
  <si>
    <t>De rolweerstand</t>
  </si>
  <si>
    <t>Het stijgingspercentage</t>
  </si>
  <si>
    <t>De energie die geleverd moet worden is de toename van de potentiële energie.</t>
  </si>
  <si>
    <t>Het vermogen dat geleverd moet worden is de toename van de potentiële energie per tijdseenheid.</t>
  </si>
  <si>
    <t>De gebruikte relatie is:</t>
  </si>
  <si>
    <t xml:space="preserve"> - de rolweerstand: het rollen van de banden over de weg, maar ook fietsverliezen(lagers);</t>
  </si>
  <si>
    <t>Kan ik de Mont Ventoux op?</t>
  </si>
  <si>
    <t>verzet in m1</t>
  </si>
  <si>
    <t>snelheid in km/hr in functie van verzet en trapfrequentie</t>
  </si>
  <si>
    <t>%</t>
  </si>
  <si>
    <t>km/hr</t>
  </si>
  <si>
    <t>tijd per km</t>
  </si>
  <si>
    <t>Sault</t>
  </si>
  <si>
    <t>achter</t>
  </si>
  <si>
    <t>voor</t>
  </si>
  <si>
    <t>kg</t>
  </si>
  <si>
    <t>cm</t>
  </si>
  <si>
    <t>m/s</t>
  </si>
  <si>
    <t>fietsgewicht</t>
  </si>
  <si>
    <t>wielomtrek</t>
  </si>
  <si>
    <t>persoonlijk maximaal uurgemiddelde</t>
  </si>
  <si>
    <t>berekend max. vermogen</t>
  </si>
  <si>
    <t>uw verzetten</t>
  </si>
  <si>
    <t>set 1</t>
  </si>
  <si>
    <t>set 2</t>
  </si>
  <si>
    <t>interval stijgingspercentage</t>
  </si>
  <si>
    <t>tabel 3</t>
  </si>
  <si>
    <t>Gangbare frequenties bij maximale inspanning liggen tussen 60 en 80 per min, deze kies je in tabel3.</t>
  </si>
  <si>
    <t>© Loet Janssen / Wim Torfs - www.dekaleberg.nl</t>
  </si>
  <si>
    <t>Lees eerst de toelichting!</t>
  </si>
  <si>
    <t>in de praktijk zal op je de steilere stukken meer naar je bovengrens gaan dan op de vlakkere</t>
  </si>
  <si>
    <t>hou de volgorde aan zoals ingevuld, dus van binnen naar buiten</t>
  </si>
  <si>
    <t>je kan een tweede cassette invullen om te vergelijken en in tabel2 kiezen tussen set1 en set2</t>
  </si>
  <si>
    <t>totaal gewicht</t>
  </si>
  <si>
    <t>in tabel 1 vul je bovendien volgende gegevens in</t>
  </si>
  <si>
    <t>als je te extreme of onmogelijke waarden invult kan je soms sterretjes zien</t>
  </si>
  <si>
    <t>Voor vragen of opmerkingen kun je een e-mail sturen naar</t>
  </si>
  <si>
    <t>combinaties waarbij de ketting teveel kruist zijn vermeden</t>
  </si>
  <si>
    <t>hier krijg je de grootte in meter van het verzet waarvoor in tabel2 de frequentie wordt berekend</t>
  </si>
  <si>
    <t>= speling naar onder of naar boven (gele vakken in tabel 2) die nog aanvaardbare trapfrequenties geeft</t>
  </si>
  <si>
    <t>dan kan de inspanning niet meer worden geleverd (de persoonlijke grens is bereikt).</t>
  </si>
  <si>
    <t>deze berekening gaat ervan uit dat je fietst met een constant vermogen</t>
  </si>
  <si>
    <t>als deze op 100% staat wordt er gerekend met je maximale prestatie</t>
  </si>
  <si>
    <t>alle berekeningen gebeuren met dit gereduceerd vermogen</t>
  </si>
  <si>
    <t>gedurende kortere tijd kan deze inspanning natuurlijk wel geleverd worden</t>
  </si>
  <si>
    <t>Het blad 'Klimplanning' geeft je de tijd nodig om de Mont Ventoux op te rijden vanuit de 3 richtingen</t>
  </si>
  <si>
    <t xml:space="preserve"> - de luchtweerstand: de arbeid die moet worden verricht om 'tegen de wind' te fietsen;</t>
  </si>
  <si>
    <t>Bedoin</t>
  </si>
  <si>
    <t>Malaucène</t>
  </si>
  <si>
    <t>reductiecoëfficiënt toegestane vermogen</t>
  </si>
  <si>
    <t>naam fietser</t>
  </si>
  <si>
    <t>VerzetIfvSnelheid</t>
  </si>
  <si>
    <t>VlookupSnelheid</t>
  </si>
  <si>
    <t>Klimplanning</t>
  </si>
  <si>
    <t>indien het noodzakelijke verzet te klein wordt, wordt je kleinste verzet genomen en krijg je een trapfrequentie in blauw of rood</t>
  </si>
  <si>
    <t>totaaltijd in min</t>
  </si>
  <si>
    <t>verder zie je hier het maximale verzet dat je mag trappen, de overeenstemmende trapfrequentie en de cumulatieve gemiddelde snelheid</t>
  </si>
  <si>
    <t xml:space="preserve"> /min</t>
  </si>
  <si>
    <t>max klimsnelheid</t>
  </si>
  <si>
    <t>kJ</t>
  </si>
  <si>
    <t>energieverbruik per uur per kg lichaamsgewicht</t>
  </si>
  <si>
    <t>kJ/kg/hr</t>
  </si>
  <si>
    <t>nodige klimenergie per km</t>
  </si>
  <si>
    <t>W</t>
  </si>
  <si>
    <t>kcal</t>
  </si>
  <si>
    <t>nodige klimvermogen</t>
  </si>
  <si>
    <t>som nodige klimenergie</t>
  </si>
  <si>
    <t>verder  berekent deze tabel nog het nodige klimvermogen ifv de gereden snelheid en de overeenstemmende klimenergie</t>
  </si>
  <si>
    <t>Relatie energieverbruik per kg per uur als functie van fietssnelheid</t>
  </si>
  <si>
    <t>bron:http://www.wvc.vlaanderen.be/gezondsporten/voeding/theorie/energie.htm</t>
  </si>
  <si>
    <t>km/uur</t>
  </si>
  <si>
    <t>relatie</t>
  </si>
  <si>
    <t>het energieverbruik in kJ/kg/hr = 10 + 0,7*V * 0,022*V*V</t>
  </si>
  <si>
    <t>- hierin is V de snelheid in km/uur (op vlakke weg zonder wind)</t>
  </si>
  <si>
    <t>de relatie is afgeleid van data uit</t>
  </si>
  <si>
    <t>rendement</t>
  </si>
  <si>
    <t>benodigde energie bij max uurgem.     kJ/kg/hr</t>
  </si>
  <si>
    <t>berekend vermogen bij max uurgem. kJ/kg/hr</t>
  </si>
  <si>
    <t>data afgeleid uit brongegevens</t>
  </si>
  <si>
    <t>Op basis van literatuur is een benaderende relatie afgeleid voor het energieverbruik.</t>
  </si>
  <si>
    <t>het berekend max vermogen per kg per uur</t>
  </si>
  <si>
    <t>het energieverbruik door het lichaam per kg per uur (zie blad gebruikte relaties)</t>
  </si>
  <si>
    <t>het berekend vermogen gedeeld door het energieverbruik</t>
  </si>
  <si>
    <t>Het energieverbruik door het lichaam is globaal 4x het berekend vermogen,</t>
  </si>
  <si>
    <t>of anders gezegd het rendement is globaal circa 25%.</t>
  </si>
  <si>
    <t>loet.janssen@hetnet.nl</t>
  </si>
  <si>
    <t>deze klimenergie wordt dan omgerekend naar lichaamsenergie waarbij uitgegaan wordt van het berekende rendement</t>
  </si>
  <si>
    <t xml:space="preserve"> - de fietsverliezen (lagers, ketting, ...) +/- 5%</t>
  </si>
  <si>
    <t>In de praktijk zijn de eerste en de derde factor vooral bepalend.</t>
  </si>
  <si>
    <t xml:space="preserve">In het spreadsheet zijn relaties opgenomen voor de eerste drie factoren. </t>
  </si>
  <si>
    <t>wordt bepaald door volgende formule</t>
  </si>
  <si>
    <t>Opp =</t>
  </si>
  <si>
    <t>m2</t>
  </si>
  <si>
    <t>Rho = de densiteit van de lucht</t>
  </si>
  <si>
    <t>Rho =</t>
  </si>
  <si>
    <t>kg/m3</t>
  </si>
  <si>
    <t>(Gpers/75)^0,7 corrigeert het lichaamsoppervlak ifv het gewicht van de fietser</t>
  </si>
  <si>
    <t>Vwind = de windsnelheid in m/s</t>
  </si>
  <si>
    <t>V = de fietssnelheid in m/s (= afgelegde weg per tijdseenheid)</t>
  </si>
  <si>
    <t>het vermogen in Watt (J/s) = Cr*9,81*Gtot*V</t>
  </si>
  <si>
    <t>Cr = de rolweerstand van de fiets</t>
  </si>
  <si>
    <t>Cr =</t>
  </si>
  <si>
    <t>9,81 = de versnelling van de zwaartekracht</t>
  </si>
  <si>
    <t>Gtot = het gewicht van fiets+fietser in kg;</t>
  </si>
  <si>
    <t>De formule hiervoor is Gtot*g*H</t>
  </si>
  <si>
    <t>het vermogen in Watt (J/s) = Gtot*9,81*V*sin(hellingshoek)</t>
  </si>
  <si>
    <t>Opp = het lichaamsoppervlak van de fietser, gerelateerd aan zijn gewicht met als basis 75kg</t>
  </si>
  <si>
    <t>een weerstandsfactor die een functie is van de vorm van de fietser,  deze is +/-1</t>
  </si>
  <si>
    <t>De kracht is evenredig met het gewicht, het vermogen ook met de snelheid</t>
  </si>
  <si>
    <t>in principe moet dit nog vermenigvuldigd worden met de cosinus van de hellingshoek</t>
  </si>
  <si>
    <t>bij hellingen zoals de Mont Ventoux wordt deze echter nooit kleiner dan 0.99 en is daarom verwaarloosd</t>
  </si>
  <si>
    <t>het stijgingspercentage wordt gemeten als stijging per afgelegde weg</t>
  </si>
  <si>
    <t>vermits deze afgelegde weg schuin gemeten wordt is het stijgingspercentage gelijk aan de sinus</t>
  </si>
  <si>
    <t>Vmax</t>
  </si>
  <si>
    <t>Gpers</t>
  </si>
  <si>
    <t>Gtot</t>
  </si>
  <si>
    <t>windsnelheid (enkel bij klimmen)</t>
  </si>
  <si>
    <t>Cf =</t>
  </si>
  <si>
    <t>x</t>
  </si>
  <si>
    <t>y</t>
  </si>
  <si>
    <t>z</t>
  </si>
  <si>
    <t>geleverde lichaamsenergie</t>
  </si>
  <si>
    <t>gemiddeld klimvermogen</t>
  </si>
  <si>
    <t>berekening met gemiddelde</t>
  </si>
  <si>
    <t>tussenafstand</t>
  </si>
  <si>
    <t>neem +/-2% minder dan de theoretische omtrek ivm indrukking van de band</t>
  </si>
  <si>
    <t>vanaf de 10de verhoging wordt met een dubbele snelheidstoename gerekend</t>
  </si>
  <si>
    <t>de snelheid die je niet wil overschrijden om wat te recupereren</t>
  </si>
  <si>
    <t>MaxVermogen</t>
  </si>
  <si>
    <t>vermogen</t>
  </si>
  <si>
    <t>indien je tenminste de maximale uursnelheid ook gedurende de berekende tijd kan volhouden</t>
  </si>
  <si>
    <t>boven de tabel VerzetIfvSnelheid staat normaal je minimale trapfrequentie</t>
  </si>
  <si>
    <t>gedurende even veel tijd als de geschatte klimtijd (+/- 60km bij windstil weer)</t>
  </si>
  <si>
    <t>VmaxKlim</t>
  </si>
  <si>
    <t>Vdif</t>
  </si>
  <si>
    <t>Vwind</t>
  </si>
  <si>
    <t>Omtrek</t>
  </si>
  <si>
    <t>Gfiets</t>
  </si>
  <si>
    <t>VerhKjPerKg</t>
  </si>
  <si>
    <t>het vermogen in Watt (J/s) = Opp*Rho*(Gpers/75)^0,7*0,5*(Vwind+V)^2*V</t>
  </si>
  <si>
    <t>a</t>
  </si>
  <si>
    <t>b</t>
  </si>
  <si>
    <t>c</t>
  </si>
  <si>
    <t>d</t>
  </si>
  <si>
    <t>e</t>
  </si>
  <si>
    <t>f</t>
  </si>
  <si>
    <t>lengte laatste "km"</t>
  </si>
  <si>
    <t>g</t>
  </si>
  <si>
    <t>De bovenste is een klimplanning cfr die voor de Mont Ventoux</t>
  </si>
  <si>
    <t>In de 2e tabel kan je à volonté cols invullen en dan je klimtijd hiervoor te berekenen</t>
  </si>
  <si>
    <t>de tweede tabel moet je invullen zoals de voorbeelden van de Mont Ventoux</t>
  </si>
  <si>
    <t>vergeet niet de lengte van de laatste km in te vullen</t>
  </si>
  <si>
    <t>als je onvoldoende kolommen hebt voeg je die in tussen kolom M en N</t>
  </si>
  <si>
    <t>voor de leesbaarheid heb ik het werkblad ingesteld op "nullen niet weergeven"</t>
  </si>
  <si>
    <t>hiervoor moet je wel eerst de paginabeveiliging uitschakelen in Extra/Beveiling</t>
  </si>
  <si>
    <t>als je het snelheidsverschil op 2 km/hr zet krijg je een langere rijtijd omdat bv 13km/hr dan niet bestaat en er wordt gerekend met 12km/hr</t>
  </si>
  <si>
    <t>voor een rode waarde moet de volgorde verwisseld worden</t>
  </si>
  <si>
    <t>zie hiervoor als voorbeeld de 2e km van Sault</t>
  </si>
  <si>
    <t>Cols</t>
  </si>
  <si>
    <t>tabel1</t>
  </si>
  <si>
    <t>Tabel1, de 'groen/rode' tabel laat zien tot wat men in staat is.</t>
  </si>
  <si>
    <t>laagste snelheid, laagste stijgingspercentage en toename stijgingspercentage</t>
  </si>
  <si>
    <t>dit heeft voor gevolg dat je voor een vlak stuk niet 0% mag ingeven maar bv 0,01%</t>
  </si>
  <si>
    <t>Deze sheet bevat 2 tabellen</t>
  </si>
  <si>
    <t>Wim Torfs</t>
  </si>
  <si>
    <t xml:space="preserve">klimtijd </t>
  </si>
  <si>
    <t>min</t>
  </si>
  <si>
    <t xml:space="preserve">gem.snelheid 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</si>
</sst>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0.0"/>
    <numFmt numFmtId="193" formatCode="0&quot; /min&quot;"/>
    <numFmt numFmtId="194" formatCode="0.0000"/>
    <numFmt numFmtId="195" formatCode="0.000"/>
    <numFmt numFmtId="196" formatCode="0.0%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20"/>
      <color indexed="10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0"/>
    </font>
    <font>
      <sz val="8"/>
      <name val="Tahoma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7"/>
      <name val="Arial"/>
      <family val="2"/>
    </font>
    <font>
      <b/>
      <sz val="19.5"/>
      <name val="Arial"/>
      <family val="0"/>
    </font>
    <font>
      <sz val="19.5"/>
      <name val="Arial"/>
      <family val="0"/>
    </font>
    <font>
      <sz val="22.5"/>
      <name val="Arial"/>
      <family val="0"/>
    </font>
    <font>
      <sz val="15.5"/>
      <name val="Arial"/>
      <family val="2"/>
    </font>
    <font>
      <sz val="15.25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19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/>
      <protection/>
    </xf>
    <xf numFmtId="0" fontId="0" fillId="3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0" fontId="0" fillId="3" borderId="24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horizontal="center"/>
      <protection/>
    </xf>
    <xf numFmtId="0" fontId="0" fillId="3" borderId="19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" borderId="26" xfId="0" applyFill="1" applyBorder="1" applyAlignment="1" applyProtection="1">
      <alignment horizontal="center"/>
      <protection/>
    </xf>
    <xf numFmtId="0" fontId="0" fillId="3" borderId="27" xfId="0" applyFill="1" applyBorder="1" applyAlignment="1" applyProtection="1">
      <alignment horizontal="center"/>
      <protection/>
    </xf>
    <xf numFmtId="0" fontId="0" fillId="3" borderId="28" xfId="0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30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/>
      <protection/>
    </xf>
    <xf numFmtId="1" fontId="0" fillId="4" borderId="24" xfId="0" applyNumberFormat="1" applyFill="1" applyBorder="1" applyAlignment="1" applyProtection="1">
      <alignment horizontal="center"/>
      <protection/>
    </xf>
    <xf numFmtId="1" fontId="0" fillId="4" borderId="12" xfId="0" applyNumberForma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 horizontal="center"/>
      <protection/>
    </xf>
    <xf numFmtId="1" fontId="0" fillId="4" borderId="25" xfId="0" applyNumberFormat="1" applyFill="1" applyBorder="1" applyAlignment="1" applyProtection="1">
      <alignment horizontal="center"/>
      <protection/>
    </xf>
    <xf numFmtId="1" fontId="0" fillId="4" borderId="19" xfId="0" applyNumberFormat="1" applyFill="1" applyBorder="1" applyAlignment="1" applyProtection="1">
      <alignment horizontal="center"/>
      <protection/>
    </xf>
    <xf numFmtId="1" fontId="0" fillId="4" borderId="29" xfId="0" applyNumberFormat="1" applyFill="1" applyBorder="1" applyAlignment="1" applyProtection="1">
      <alignment horizontal="center"/>
      <protection/>
    </xf>
    <xf numFmtId="1" fontId="0" fillId="4" borderId="30" xfId="0" applyNumberFormat="1" applyFill="1" applyBorder="1" applyAlignment="1" applyProtection="1">
      <alignment horizontal="center"/>
      <protection/>
    </xf>
    <xf numFmtId="1" fontId="0" fillId="4" borderId="13" xfId="0" applyNumberForma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3" borderId="14" xfId="0" applyNumberFormat="1" applyFill="1" applyBorder="1" applyAlignment="1" applyProtection="1">
      <alignment/>
      <protection/>
    </xf>
    <xf numFmtId="1" fontId="0" fillId="4" borderId="32" xfId="0" applyNumberFormat="1" applyFill="1" applyBorder="1" applyAlignment="1" applyProtection="1">
      <alignment horizontal="center"/>
      <protection/>
    </xf>
    <xf numFmtId="1" fontId="0" fillId="4" borderId="15" xfId="0" applyNumberFormat="1" applyFill="1" applyBorder="1" applyAlignment="1" applyProtection="1">
      <alignment horizontal="center"/>
      <protection/>
    </xf>
    <xf numFmtId="1" fontId="0" fillId="4" borderId="33" xfId="0" applyNumberFormat="1" applyFill="1" applyBorder="1" applyAlignment="1" applyProtection="1">
      <alignment horizontal="center"/>
      <protection/>
    </xf>
    <xf numFmtId="1" fontId="0" fillId="4" borderId="16" xfId="0" applyNumberForma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2" fontId="0" fillId="3" borderId="35" xfId="0" applyNumberFormat="1" applyFill="1" applyBorder="1" applyAlignment="1" applyProtection="1">
      <alignment horizontal="center"/>
      <protection/>
    </xf>
    <xf numFmtId="2" fontId="0" fillId="3" borderId="22" xfId="0" applyNumberFormat="1" applyFill="1" applyBorder="1" applyAlignment="1" applyProtection="1">
      <alignment horizontal="center"/>
      <protection/>
    </xf>
    <xf numFmtId="2" fontId="0" fillId="3" borderId="23" xfId="0" applyNumberFormat="1" applyFill="1" applyBorder="1" applyAlignment="1" applyProtection="1">
      <alignment horizontal="center"/>
      <protection/>
    </xf>
    <xf numFmtId="192" fontId="0" fillId="5" borderId="12" xfId="0" applyNumberFormat="1" applyFill="1" applyBorder="1" applyAlignment="1" applyProtection="1">
      <alignment horizontal="center"/>
      <protection/>
    </xf>
    <xf numFmtId="192" fontId="0" fillId="5" borderId="24" xfId="0" applyNumberFormat="1" applyFill="1" applyBorder="1" applyAlignment="1" applyProtection="1">
      <alignment horizontal="center"/>
      <protection/>
    </xf>
    <xf numFmtId="192" fontId="0" fillId="5" borderId="25" xfId="0" applyNumberFormat="1" applyFill="1" applyBorder="1" applyAlignment="1" applyProtection="1">
      <alignment horizontal="center"/>
      <protection/>
    </xf>
    <xf numFmtId="192" fontId="0" fillId="5" borderId="19" xfId="0" applyNumberFormat="1" applyFill="1" applyBorder="1" applyAlignment="1" applyProtection="1">
      <alignment horizontal="center"/>
      <protection/>
    </xf>
    <xf numFmtId="192" fontId="0" fillId="5" borderId="15" xfId="0" applyNumberFormat="1" applyFill="1" applyBorder="1" applyAlignment="1" applyProtection="1">
      <alignment horizontal="center"/>
      <protection/>
    </xf>
    <xf numFmtId="192" fontId="0" fillId="5" borderId="32" xfId="0" applyNumberFormat="1" applyFill="1" applyBorder="1" applyAlignment="1" applyProtection="1">
      <alignment horizontal="center"/>
      <protection/>
    </xf>
    <xf numFmtId="192" fontId="0" fillId="5" borderId="33" xfId="0" applyNumberFormat="1" applyFill="1" applyBorder="1" applyAlignment="1" applyProtection="1">
      <alignment horizontal="center"/>
      <protection/>
    </xf>
    <xf numFmtId="192" fontId="0" fillId="5" borderId="16" xfId="0" applyNumberForma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193" fontId="0" fillId="2" borderId="18" xfId="0" applyNumberFormat="1" applyFill="1" applyBorder="1" applyAlignment="1" applyProtection="1">
      <alignment/>
      <protection locked="0"/>
    </xf>
    <xf numFmtId="193" fontId="0" fillId="2" borderId="31" xfId="0" applyNumberFormat="1" applyFill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0" fillId="2" borderId="13" xfId="0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/>
    </xf>
    <xf numFmtId="9" fontId="0" fillId="2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4" fillId="0" borderId="17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2" fontId="4" fillId="0" borderId="8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9" fontId="0" fillId="0" borderId="0" xfId="19" applyAlignment="1">
      <alignment/>
    </xf>
    <xf numFmtId="0" fontId="0" fillId="0" borderId="0" xfId="0" applyBorder="1" applyAlignment="1" applyProtection="1">
      <alignment horizontal="left"/>
      <protection/>
    </xf>
    <xf numFmtId="19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3" borderId="16" xfId="0" applyNumberForma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14" fillId="0" borderId="0" xfId="19" applyFont="1" applyAlignment="1">
      <alignment/>
    </xf>
    <xf numFmtId="0" fontId="15" fillId="0" borderId="0" xfId="0" applyFont="1" applyAlignment="1">
      <alignment/>
    </xf>
    <xf numFmtId="0" fontId="0" fillId="0" borderId="0" xfId="0" applyAlignment="1" quotePrefix="1">
      <alignment/>
    </xf>
    <xf numFmtId="19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right"/>
      <protection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16" applyAlignment="1">
      <alignment/>
    </xf>
    <xf numFmtId="0" fontId="8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0" fillId="2" borderId="12" xfId="0" applyFill="1" applyBorder="1" applyAlignment="1" applyProtection="1">
      <alignment horizontal="centerContinuous"/>
      <protection locked="0"/>
    </xf>
    <xf numFmtId="0" fontId="0" fillId="2" borderId="19" xfId="0" applyFill="1" applyBorder="1" applyAlignment="1" applyProtection="1">
      <alignment horizontal="centerContinuous"/>
      <protection locked="0"/>
    </xf>
    <xf numFmtId="0" fontId="0" fillId="2" borderId="12" xfId="0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9" fontId="0" fillId="2" borderId="23" xfId="0" applyNumberFormat="1" applyFill="1" applyBorder="1" applyAlignment="1" applyProtection="1">
      <alignment horizontal="center"/>
      <protection locked="0"/>
    </xf>
    <xf numFmtId="9" fontId="0" fillId="2" borderId="24" xfId="0" applyNumberFormat="1" applyFill="1" applyBorder="1" applyAlignment="1" applyProtection="1">
      <alignment/>
      <protection locked="0"/>
    </xf>
    <xf numFmtId="9" fontId="0" fillId="3" borderId="12" xfId="0" applyNumberFormat="1" applyFill="1" applyBorder="1" applyAlignment="1" applyProtection="1">
      <alignment/>
      <protection/>
    </xf>
    <xf numFmtId="9" fontId="0" fillId="3" borderId="19" xfId="0" applyNumberFormat="1" applyFill="1" applyBorder="1" applyAlignment="1" applyProtection="1">
      <alignment/>
      <protection/>
    </xf>
    <xf numFmtId="9" fontId="4" fillId="0" borderId="9" xfId="0" applyNumberFormat="1" applyFont="1" applyBorder="1" applyAlignment="1" applyProtection="1">
      <alignment horizontal="center"/>
      <protection/>
    </xf>
    <xf numFmtId="9" fontId="4" fillId="0" borderId="14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Border="1" applyAlignment="1">
      <alignment horizontal="center"/>
    </xf>
    <xf numFmtId="196" fontId="14" fillId="0" borderId="53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92" fontId="7" fillId="0" borderId="5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4" fillId="0" borderId="35" xfId="0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6" borderId="24" xfId="0" applyNumberFormat="1" applyFill="1" applyBorder="1" applyAlignment="1" applyProtection="1">
      <alignment/>
      <protection/>
    </xf>
    <xf numFmtId="1" fontId="0" fillId="6" borderId="12" xfId="0" applyNumberFormat="1" applyFill="1" applyBorder="1" applyAlignment="1" applyProtection="1">
      <alignment/>
      <protection/>
    </xf>
    <xf numFmtId="1" fontId="0" fillId="6" borderId="25" xfId="0" applyNumberFormat="1" applyFill="1" applyBorder="1" applyAlignment="1" applyProtection="1">
      <alignment/>
      <protection/>
    </xf>
    <xf numFmtId="1" fontId="0" fillId="6" borderId="29" xfId="0" applyNumberFormat="1" applyFill="1" applyBorder="1" applyAlignment="1" applyProtection="1">
      <alignment/>
      <protection/>
    </xf>
    <xf numFmtId="1" fontId="0" fillId="6" borderId="0" xfId="0" applyNumberFormat="1" applyFill="1" applyBorder="1" applyAlignment="1" applyProtection="1">
      <alignment/>
      <protection/>
    </xf>
    <xf numFmtId="1" fontId="0" fillId="6" borderId="30" xfId="0" applyNumberFormat="1" applyFill="1" applyBorder="1" applyAlignment="1" applyProtection="1">
      <alignment/>
      <protection/>
    </xf>
    <xf numFmtId="1" fontId="0" fillId="6" borderId="26" xfId="0" applyNumberFormat="1" applyFill="1" applyBorder="1" applyAlignment="1" applyProtection="1">
      <alignment/>
      <protection/>
    </xf>
    <xf numFmtId="1" fontId="0" fillId="6" borderId="27" xfId="0" applyNumberFormat="1" applyFill="1" applyBorder="1" applyAlignment="1" applyProtection="1">
      <alignment/>
      <protection/>
    </xf>
    <xf numFmtId="1" fontId="0" fillId="6" borderId="28" xfId="0" applyNumberFormat="1" applyFill="1" applyBorder="1" applyAlignment="1" applyProtection="1">
      <alignment/>
      <protection/>
    </xf>
    <xf numFmtId="0" fontId="1" fillId="5" borderId="17" xfId="0" applyFont="1" applyFill="1" applyBorder="1" applyAlignment="1" applyProtection="1">
      <alignment horizontal="center" textRotation="90"/>
      <protection locked="0"/>
    </xf>
    <xf numFmtId="0" fontId="1" fillId="5" borderId="60" xfId="0" applyFont="1" applyFill="1" applyBorder="1" applyAlignment="1" applyProtection="1">
      <alignment horizontal="center" textRotation="90"/>
      <protection locked="0"/>
    </xf>
    <xf numFmtId="0" fontId="1" fillId="5" borderId="8" xfId="0" applyFont="1" applyFill="1" applyBorder="1" applyAlignment="1" applyProtection="1">
      <alignment horizontal="center" textRotation="90"/>
      <protection locked="0"/>
    </xf>
    <xf numFmtId="196" fontId="14" fillId="0" borderId="61" xfId="0" applyNumberFormat="1" applyFont="1" applyBorder="1" applyAlignment="1" applyProtection="1">
      <alignment horizontal="center"/>
      <protection locked="0"/>
    </xf>
    <xf numFmtId="196" fontId="14" fillId="0" borderId="62" xfId="0" applyNumberFormat="1" applyFont="1" applyBorder="1" applyAlignment="1" applyProtection="1">
      <alignment horizontal="center"/>
      <protection locked="0"/>
    </xf>
    <xf numFmtId="0" fontId="0" fillId="7" borderId="58" xfId="0" applyNumberFormat="1" applyFill="1" applyBorder="1" applyAlignment="1">
      <alignment/>
    </xf>
    <xf numFmtId="0" fontId="0" fillId="7" borderId="61" xfId="0" applyFill="1" applyBorder="1" applyAlignment="1">
      <alignment horizontal="center"/>
    </xf>
    <xf numFmtId="196" fontId="14" fillId="7" borderId="61" xfId="0" applyNumberFormat="1" applyFont="1" applyFill="1" applyBorder="1" applyAlignment="1">
      <alignment horizontal="center"/>
    </xf>
    <xf numFmtId="0" fontId="0" fillId="7" borderId="61" xfId="0" applyFont="1" applyFill="1" applyBorder="1" applyAlignment="1">
      <alignment horizontal="center"/>
    </xf>
    <xf numFmtId="192" fontId="7" fillId="7" borderId="61" xfId="0" applyNumberFormat="1" applyFont="1" applyFill="1" applyBorder="1" applyAlignment="1">
      <alignment horizontal="center"/>
    </xf>
    <xf numFmtId="1" fontId="0" fillId="7" borderId="61" xfId="0" applyNumberFormat="1" applyFont="1" applyFill="1" applyBorder="1" applyAlignment="1">
      <alignment horizontal="center"/>
    </xf>
    <xf numFmtId="1" fontId="0" fillId="7" borderId="63" xfId="0" applyNumberFormat="1" applyFont="1" applyFill="1" applyBorder="1" applyAlignment="1">
      <alignment horizontal="center"/>
    </xf>
    <xf numFmtId="1" fontId="0" fillId="7" borderId="64" xfId="0" applyNumberFormat="1" applyFont="1" applyFill="1" applyBorder="1" applyAlignment="1">
      <alignment horizontal="center"/>
    </xf>
    <xf numFmtId="196" fontId="14" fillId="7" borderId="65" xfId="0" applyNumberFormat="1" applyFont="1" applyFill="1" applyBorder="1" applyAlignment="1">
      <alignment horizontal="center"/>
    </xf>
    <xf numFmtId="1" fontId="0" fillId="7" borderId="65" xfId="0" applyNumberFormat="1" applyFont="1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196" fontId="14" fillId="7" borderId="66" xfId="0" applyNumberFormat="1" applyFont="1" applyFill="1" applyBorder="1" applyAlignment="1">
      <alignment horizontal="center"/>
    </xf>
    <xf numFmtId="0" fontId="0" fillId="7" borderId="66" xfId="0" applyFont="1" applyFill="1" applyBorder="1" applyAlignment="1">
      <alignment horizontal="center"/>
    </xf>
    <xf numFmtId="192" fontId="7" fillId="7" borderId="66" xfId="0" applyNumberFormat="1" applyFont="1" applyFill="1" applyBorder="1" applyAlignment="1">
      <alignment horizontal="center"/>
    </xf>
    <xf numFmtId="1" fontId="0" fillId="7" borderId="66" xfId="0" applyNumberFormat="1" applyFont="1" applyFill="1" applyBorder="1" applyAlignment="1">
      <alignment horizontal="center"/>
    </xf>
    <xf numFmtId="1" fontId="0" fillId="7" borderId="67" xfId="0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0" fillId="2" borderId="22" xfId="0" applyFont="1" applyFill="1" applyBorder="1" applyAlignment="1" applyProtection="1">
      <alignment/>
      <protection locked="0"/>
    </xf>
    <xf numFmtId="0" fontId="0" fillId="0" borderId="61" xfId="0" applyBorder="1" applyAlignment="1">
      <alignment/>
    </xf>
    <xf numFmtId="0" fontId="0" fillId="0" borderId="66" xfId="0" applyBorder="1" applyAlignment="1">
      <alignment/>
    </xf>
    <xf numFmtId="0" fontId="1" fillId="7" borderId="68" xfId="0" applyFont="1" applyFill="1" applyBorder="1" applyAlignment="1" applyProtection="1">
      <alignment horizontal="center"/>
      <protection locked="0"/>
    </xf>
    <xf numFmtId="0" fontId="0" fillId="7" borderId="69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7" borderId="70" xfId="0" applyFont="1" applyFill="1" applyBorder="1" applyAlignment="1" applyProtection="1">
      <alignment horizontal="center"/>
      <protection locked="0"/>
    </xf>
    <xf numFmtId="196" fontId="14" fillId="0" borderId="71" xfId="0" applyNumberFormat="1" applyFont="1" applyBorder="1" applyAlignment="1" applyProtection="1">
      <alignment horizontal="center"/>
      <protection locked="0"/>
    </xf>
    <xf numFmtId="196" fontId="14" fillId="0" borderId="72" xfId="0" applyNumberFormat="1" applyFont="1" applyBorder="1" applyAlignment="1" applyProtection="1">
      <alignment horizontal="center"/>
      <protection locked="0"/>
    </xf>
    <xf numFmtId="0" fontId="0" fillId="0" borderId="69" xfId="0" applyBorder="1" applyAlignment="1">
      <alignment/>
    </xf>
    <xf numFmtId="196" fontId="14" fillId="0" borderId="66" xfId="0" applyNumberFormat="1" applyFont="1" applyBorder="1" applyAlignment="1" applyProtection="1">
      <alignment horizontal="center"/>
      <protection locked="0"/>
    </xf>
    <xf numFmtId="196" fontId="14" fillId="0" borderId="73" xfId="0" applyNumberFormat="1" applyFont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74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196" fontId="14" fillId="0" borderId="76" xfId="0" applyNumberFormat="1" applyFont="1" applyBorder="1" applyAlignment="1" applyProtection="1">
      <alignment horizontal="center"/>
      <protection locked="0"/>
    </xf>
    <xf numFmtId="196" fontId="14" fillId="0" borderId="58" xfId="0" applyNumberFormat="1" applyFont="1" applyFill="1" applyBorder="1" applyAlignment="1" applyProtection="1">
      <alignment horizontal="center"/>
      <protection locked="0"/>
    </xf>
    <xf numFmtId="196" fontId="14" fillId="0" borderId="58" xfId="0" applyNumberFormat="1" applyFont="1" applyBorder="1" applyAlignment="1" applyProtection="1">
      <alignment horizontal="center"/>
      <protection locked="0"/>
    </xf>
    <xf numFmtId="192" fontId="0" fillId="7" borderId="62" xfId="0" applyNumberFormat="1" applyFont="1" applyFill="1" applyBorder="1" applyAlignment="1">
      <alignment/>
    </xf>
    <xf numFmtId="192" fontId="0" fillId="7" borderId="73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5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6">
    <dxf>
      <font>
        <color rgb="FFFF0000"/>
      </font>
      <border/>
    </dxf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  <dxf>
      <font>
        <color rgb="FF0000FF"/>
      </font>
      <border/>
    </dxf>
    <dxf>
      <fill>
        <patternFill patternType="solid">
          <fgColor rgb="FFFF0000"/>
          <bgColor rgb="FFFF0000"/>
        </patternFill>
      </fill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Vermogen als functie van snelheid bij verschillende stijgingspercentages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225"/>
          <c:w val="0.8492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Tabel!$I$5</c:f>
              <c:strCache>
                <c:ptCount val="1"/>
                <c:pt idx="0">
                  <c:v>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Tabel!$I$6:$I$25</c:f>
              <c:numCache>
                <c:ptCount val="20"/>
                <c:pt idx="0">
                  <c:v>13.909983658771557</c:v>
                </c:pt>
                <c:pt idx="1">
                  <c:v>16.534718587161226</c:v>
                </c:pt>
                <c:pt idx="2">
                  <c:v>19.414491277834102</c:v>
                </c:pt>
                <c:pt idx="3">
                  <c:v>22.581181451075583</c:v>
                </c:pt>
                <c:pt idx="4">
                  <c:v>26.06666882717107</c:v>
                </c:pt>
                <c:pt idx="5">
                  <c:v>29.902833126405973</c:v>
                </c:pt>
                <c:pt idx="6">
                  <c:v>34.12155406906569</c:v>
                </c:pt>
                <c:pt idx="7">
                  <c:v>38.754711375435605</c:v>
                </c:pt>
                <c:pt idx="8">
                  <c:v>43.83418476580114</c:v>
                </c:pt>
                <c:pt idx="9">
                  <c:v>49.39185396044768</c:v>
                </c:pt>
                <c:pt idx="10">
                  <c:v>62.06929864372541</c:v>
                </c:pt>
                <c:pt idx="11">
                  <c:v>77.04208318755201</c:v>
                </c:pt>
                <c:pt idx="12">
                  <c:v>94.56524535421066</c:v>
                </c:pt>
                <c:pt idx="13">
                  <c:v>114.89382290598458</c:v>
                </c:pt>
                <c:pt idx="14">
                  <c:v>138.28285360515704</c:v>
                </c:pt>
                <c:pt idx="15">
                  <c:v>164.98737521401114</c:v>
                </c:pt>
                <c:pt idx="16">
                  <c:v>195.26242549483018</c:v>
                </c:pt>
                <c:pt idx="17">
                  <c:v>229.36304220989726</c:v>
                </c:pt>
                <c:pt idx="18">
                  <c:v>267.54426312149565</c:v>
                </c:pt>
                <c:pt idx="19">
                  <c:v>310.0611259919085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Tabel!$J$5</c:f>
              <c:strCache>
                <c:ptCount val="1"/>
                <c:pt idx="0">
                  <c:v>1%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Tabel!$J$6:$J$25</c:f>
              <c:numCache>
                <c:ptCount val="20"/>
                <c:pt idx="0">
                  <c:v>31.17787839561367</c:v>
                </c:pt>
                <c:pt idx="1">
                  <c:v>36.26945542926649</c:v>
                </c:pt>
                <c:pt idx="2">
                  <c:v>41.61607022520253</c:v>
                </c:pt>
                <c:pt idx="3">
                  <c:v>47.24960250370717</c:v>
                </c:pt>
                <c:pt idx="4">
                  <c:v>53.20193198506582</c:v>
                </c:pt>
                <c:pt idx="5">
                  <c:v>59.504938389563875</c:v>
                </c:pt>
                <c:pt idx="6">
                  <c:v>66.19050143748674</c:v>
                </c:pt>
                <c:pt idx="7">
                  <c:v>73.29050084911982</c:v>
                </c:pt>
                <c:pt idx="8">
                  <c:v>80.83681634474853</c:v>
                </c:pt>
                <c:pt idx="9">
                  <c:v>88.86132764465822</c:v>
                </c:pt>
                <c:pt idx="10">
                  <c:v>106.47245653846227</c:v>
                </c:pt>
                <c:pt idx="11">
                  <c:v>126.37892529281517</c:v>
                </c:pt>
                <c:pt idx="12">
                  <c:v>148.83577167000018</c:v>
                </c:pt>
                <c:pt idx="13">
                  <c:v>174.0980334323004</c:v>
                </c:pt>
                <c:pt idx="14">
                  <c:v>202.42074834199914</c:v>
                </c:pt>
                <c:pt idx="15">
                  <c:v>234.05895416137957</c:v>
                </c:pt>
                <c:pt idx="16">
                  <c:v>269.2676886527249</c:v>
                </c:pt>
                <c:pt idx="17">
                  <c:v>308.3019895783183</c:v>
                </c:pt>
                <c:pt idx="18">
                  <c:v>351.41689470044304</c:v>
                </c:pt>
                <c:pt idx="19">
                  <c:v>398.8674417813823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Tabel!$K$5</c:f>
              <c:strCache>
                <c:ptCount val="1"/>
                <c:pt idx="0">
                  <c:v>2%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Tabel!$K$6:$K$25</c:f>
              <c:numCache>
                <c:ptCount val="20"/>
                <c:pt idx="0">
                  <c:v>48.44577313245577</c:v>
                </c:pt>
                <c:pt idx="1">
                  <c:v>56.00419227137175</c:v>
                </c:pt>
                <c:pt idx="2">
                  <c:v>63.81764917257094</c:v>
                </c:pt>
                <c:pt idx="3">
                  <c:v>71.91802355633874</c:v>
                </c:pt>
                <c:pt idx="4">
                  <c:v>80.33719514296052</c:v>
                </c:pt>
                <c:pt idx="5">
                  <c:v>89.10704365272176</c:v>
                </c:pt>
                <c:pt idx="6">
                  <c:v>98.2594488059078</c:v>
                </c:pt>
                <c:pt idx="7">
                  <c:v>107.82629032280403</c:v>
                </c:pt>
                <c:pt idx="8">
                  <c:v>117.83944792369587</c:v>
                </c:pt>
                <c:pt idx="9">
                  <c:v>128.33080132886874</c:v>
                </c:pt>
                <c:pt idx="10">
                  <c:v>150.8756144331991</c:v>
                </c:pt>
                <c:pt idx="11">
                  <c:v>175.7157673980783</c:v>
                </c:pt>
                <c:pt idx="12">
                  <c:v>203.1062979857896</c:v>
                </c:pt>
                <c:pt idx="13">
                  <c:v>233.30224395861617</c:v>
                </c:pt>
                <c:pt idx="14">
                  <c:v>266.55864307884127</c:v>
                </c:pt>
                <c:pt idx="15">
                  <c:v>303.13053310874795</c:v>
                </c:pt>
                <c:pt idx="16">
                  <c:v>343.2729518106197</c:v>
                </c:pt>
                <c:pt idx="17">
                  <c:v>387.2409369467394</c:v>
                </c:pt>
                <c:pt idx="18">
                  <c:v>435.28952627939043</c:v>
                </c:pt>
                <c:pt idx="19">
                  <c:v>487.6737575708559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Tabel!$L$5</c:f>
              <c:strCache>
                <c:ptCount val="1"/>
                <c:pt idx="0">
                  <c:v>3%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Tabel!$L$6:$L$25</c:f>
              <c:numCache>
                <c:ptCount val="20"/>
                <c:pt idx="0">
                  <c:v>65.71366786929788</c:v>
                </c:pt>
                <c:pt idx="1">
                  <c:v>75.73892911347701</c:v>
                </c:pt>
                <c:pt idx="2">
                  <c:v>86.01922811993937</c:v>
                </c:pt>
                <c:pt idx="3">
                  <c:v>96.58644460897033</c:v>
                </c:pt>
                <c:pt idx="4">
                  <c:v>107.47245830085528</c:v>
                </c:pt>
                <c:pt idx="5">
                  <c:v>118.70914891587967</c:v>
                </c:pt>
                <c:pt idx="6">
                  <c:v>130.32839617432884</c:v>
                </c:pt>
                <c:pt idx="7">
                  <c:v>142.36207979648825</c:v>
                </c:pt>
                <c:pt idx="8">
                  <c:v>154.8420795026433</c:v>
                </c:pt>
                <c:pt idx="9">
                  <c:v>167.80027501307924</c:v>
                </c:pt>
                <c:pt idx="10">
                  <c:v>195.27877232793597</c:v>
                </c:pt>
                <c:pt idx="11">
                  <c:v>225.0526095033415</c:v>
                </c:pt>
                <c:pt idx="12">
                  <c:v>257.3768243015791</c:v>
                </c:pt>
                <c:pt idx="13">
                  <c:v>292.50645448493196</c:v>
                </c:pt>
                <c:pt idx="14">
                  <c:v>330.69653781568337</c:v>
                </c:pt>
                <c:pt idx="15">
                  <c:v>372.2021120561164</c:v>
                </c:pt>
                <c:pt idx="16">
                  <c:v>417.2782149685144</c:v>
                </c:pt>
                <c:pt idx="17">
                  <c:v>466.1798843151604</c:v>
                </c:pt>
                <c:pt idx="18">
                  <c:v>519.1621578583378</c:v>
                </c:pt>
                <c:pt idx="19">
                  <c:v>576.4800733603297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Tabel!$M$5</c:f>
              <c:strCache>
                <c:ptCount val="1"/>
                <c:pt idx="0">
                  <c:v>4%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Tabel!$M$6:$M$25</c:f>
              <c:numCache>
                <c:ptCount val="20"/>
                <c:pt idx="0">
                  <c:v>82.98156260613999</c:v>
                </c:pt>
                <c:pt idx="1">
                  <c:v>95.47366595558228</c:v>
                </c:pt>
                <c:pt idx="2">
                  <c:v>108.22080706730779</c:v>
                </c:pt>
                <c:pt idx="3">
                  <c:v>121.25486566160188</c:v>
                </c:pt>
                <c:pt idx="4">
                  <c:v>134.60772145875</c:v>
                </c:pt>
                <c:pt idx="5">
                  <c:v>148.31125417903758</c:v>
                </c:pt>
                <c:pt idx="6">
                  <c:v>162.3973435427499</c:v>
                </c:pt>
                <c:pt idx="7">
                  <c:v>176.89786927017246</c:v>
                </c:pt>
                <c:pt idx="8">
                  <c:v>191.84471108159062</c:v>
                </c:pt>
                <c:pt idx="9">
                  <c:v>207.2697486972898</c:v>
                </c:pt>
                <c:pt idx="10">
                  <c:v>239.6819302226728</c:v>
                </c:pt>
                <c:pt idx="11">
                  <c:v>274.38945160860465</c:v>
                </c:pt>
                <c:pt idx="12">
                  <c:v>311.64735061736855</c:v>
                </c:pt>
                <c:pt idx="13">
                  <c:v>351.7106650112477</c:v>
                </c:pt>
                <c:pt idx="14">
                  <c:v>394.83443255252547</c:v>
                </c:pt>
                <c:pt idx="15">
                  <c:v>441.2736910034849</c:v>
                </c:pt>
                <c:pt idx="16">
                  <c:v>491.28347812640914</c:v>
                </c:pt>
                <c:pt idx="17">
                  <c:v>545.1188316835816</c:v>
                </c:pt>
                <c:pt idx="18">
                  <c:v>603.0347894372851</c:v>
                </c:pt>
                <c:pt idx="19">
                  <c:v>665.2863891498033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Tabel!$N$5</c:f>
              <c:strCache>
                <c:ptCount val="1"/>
                <c:pt idx="0">
                  <c:v>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Tabel!$N$6:$N$25</c:f>
              <c:numCache>
                <c:ptCount val="20"/>
                <c:pt idx="0">
                  <c:v>100.24945734298211</c:v>
                </c:pt>
                <c:pt idx="1">
                  <c:v>115.20840279768755</c:v>
                </c:pt>
                <c:pt idx="2">
                  <c:v>130.42238601467622</c:v>
                </c:pt>
                <c:pt idx="3">
                  <c:v>145.92328671423348</c:v>
                </c:pt>
                <c:pt idx="4">
                  <c:v>161.74298461664478</c:v>
                </c:pt>
                <c:pt idx="5">
                  <c:v>177.91335944219549</c:v>
                </c:pt>
                <c:pt idx="6">
                  <c:v>194.46629091117097</c:v>
                </c:pt>
                <c:pt idx="7">
                  <c:v>211.43365874385668</c:v>
                </c:pt>
                <c:pt idx="8">
                  <c:v>228.84734266053803</c:v>
                </c:pt>
                <c:pt idx="9">
                  <c:v>246.73922238150033</c:v>
                </c:pt>
                <c:pt idx="10">
                  <c:v>284.0850881174096</c:v>
                </c:pt>
                <c:pt idx="11">
                  <c:v>323.7262937138678</c:v>
                </c:pt>
                <c:pt idx="12">
                  <c:v>365.9178769331581</c:v>
                </c:pt>
                <c:pt idx="13">
                  <c:v>410.91487553756355</c:v>
                </c:pt>
                <c:pt idx="14">
                  <c:v>458.9723272893676</c:v>
                </c:pt>
                <c:pt idx="15">
                  <c:v>510.3452699508533</c:v>
                </c:pt>
                <c:pt idx="16">
                  <c:v>565.2887412843039</c:v>
                </c:pt>
                <c:pt idx="17">
                  <c:v>624.0577790520025</c:v>
                </c:pt>
                <c:pt idx="18">
                  <c:v>686.9074210162325</c:v>
                </c:pt>
                <c:pt idx="19">
                  <c:v>754.092704939277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Tabel!$O$5</c:f>
              <c:strCache>
                <c:ptCount val="1"/>
                <c:pt idx="0">
                  <c:v>6%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Tabel!$O$6:$O$25</c:f>
              <c:numCache>
                <c:ptCount val="20"/>
                <c:pt idx="0">
                  <c:v>117.5173520798242</c:v>
                </c:pt>
                <c:pt idx="1">
                  <c:v>134.9431396397928</c:v>
                </c:pt>
                <c:pt idx="2">
                  <c:v>152.62396496204462</c:v>
                </c:pt>
                <c:pt idx="3">
                  <c:v>170.59170776686506</c:v>
                </c:pt>
                <c:pt idx="4">
                  <c:v>188.8782477745395</c:v>
                </c:pt>
                <c:pt idx="5">
                  <c:v>207.51546470535337</c:v>
                </c:pt>
                <c:pt idx="6">
                  <c:v>226.53523827959202</c:v>
                </c:pt>
                <c:pt idx="7">
                  <c:v>245.9694482175409</c:v>
                </c:pt>
                <c:pt idx="8">
                  <c:v>265.8499742394854</c:v>
                </c:pt>
                <c:pt idx="9">
                  <c:v>286.20869606571085</c:v>
                </c:pt>
                <c:pt idx="10">
                  <c:v>328.4882460121465</c:v>
                </c:pt>
                <c:pt idx="11">
                  <c:v>373.063135819131</c:v>
                </c:pt>
                <c:pt idx="12">
                  <c:v>420.1884032489475</c:v>
                </c:pt>
                <c:pt idx="13">
                  <c:v>470.1190860638794</c:v>
                </c:pt>
                <c:pt idx="14">
                  <c:v>523.1102220262097</c:v>
                </c:pt>
                <c:pt idx="15">
                  <c:v>579.4168488982217</c:v>
                </c:pt>
                <c:pt idx="16">
                  <c:v>639.2940044421987</c:v>
                </c:pt>
                <c:pt idx="17">
                  <c:v>702.9967264204236</c:v>
                </c:pt>
                <c:pt idx="18">
                  <c:v>770.7800525951799</c:v>
                </c:pt>
                <c:pt idx="19">
                  <c:v>842.8990207287507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Tabel!$P$5</c:f>
              <c:strCache>
                <c:ptCount val="1"/>
                <c:pt idx="0">
                  <c:v>7%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Tabel!$P$6:$P$25</c:f>
              <c:numCache>
                <c:ptCount val="20"/>
                <c:pt idx="0">
                  <c:v>134.78524681666636</c:v>
                </c:pt>
                <c:pt idx="1">
                  <c:v>154.6778764818981</c:v>
                </c:pt>
                <c:pt idx="2">
                  <c:v>174.82554390941308</c:v>
                </c:pt>
                <c:pt idx="3">
                  <c:v>195.26012881949666</c:v>
                </c:pt>
                <c:pt idx="4">
                  <c:v>216.01351093243431</c:v>
                </c:pt>
                <c:pt idx="5">
                  <c:v>237.1175699685113</c:v>
                </c:pt>
                <c:pt idx="6">
                  <c:v>258.60418564801313</c:v>
                </c:pt>
                <c:pt idx="7">
                  <c:v>280.50523769122515</c:v>
                </c:pt>
                <c:pt idx="8">
                  <c:v>302.85260581843283</c:v>
                </c:pt>
                <c:pt idx="9">
                  <c:v>325.67816974992144</c:v>
                </c:pt>
                <c:pt idx="10">
                  <c:v>372.89140390688334</c:v>
                </c:pt>
                <c:pt idx="11">
                  <c:v>422.3999779243942</c:v>
                </c:pt>
                <c:pt idx="12">
                  <c:v>474.4589295647371</c:v>
                </c:pt>
                <c:pt idx="13">
                  <c:v>529.3232965901952</c:v>
                </c:pt>
                <c:pt idx="14">
                  <c:v>587.2481167630519</c:v>
                </c:pt>
                <c:pt idx="15">
                  <c:v>648.4884278455903</c:v>
                </c:pt>
                <c:pt idx="16">
                  <c:v>713.2992676000935</c:v>
                </c:pt>
                <c:pt idx="17">
                  <c:v>781.9356737888448</c:v>
                </c:pt>
                <c:pt idx="18">
                  <c:v>854.6526841741273</c:v>
                </c:pt>
                <c:pt idx="19">
                  <c:v>931.7053365182245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Tabel!$Q$5</c:f>
              <c:strCache>
                <c:ptCount val="1"/>
                <c:pt idx="0">
                  <c:v>8%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Tabel!$Q$6:$Q$25</c:f>
              <c:numCache>
                <c:ptCount val="20"/>
                <c:pt idx="0">
                  <c:v>152.05314155350842</c:v>
                </c:pt>
                <c:pt idx="1">
                  <c:v>174.41261332400336</c:v>
                </c:pt>
                <c:pt idx="2">
                  <c:v>197.0271228567815</c:v>
                </c:pt>
                <c:pt idx="3">
                  <c:v>219.92854987212826</c:v>
                </c:pt>
                <c:pt idx="4">
                  <c:v>243.14877409032903</c:v>
                </c:pt>
                <c:pt idx="5">
                  <c:v>266.7196752316692</c:v>
                </c:pt>
                <c:pt idx="6">
                  <c:v>290.6731330164342</c:v>
                </c:pt>
                <c:pt idx="7">
                  <c:v>315.0410271649094</c:v>
                </c:pt>
                <c:pt idx="8">
                  <c:v>339.85523739738017</c:v>
                </c:pt>
                <c:pt idx="9">
                  <c:v>365.14764343413196</c:v>
                </c:pt>
                <c:pt idx="10">
                  <c:v>417.2945618016202</c:v>
                </c:pt>
                <c:pt idx="11">
                  <c:v>471.73682002965734</c:v>
                </c:pt>
                <c:pt idx="12">
                  <c:v>528.7294558805265</c:v>
                </c:pt>
                <c:pt idx="13">
                  <c:v>588.5275071165111</c:v>
                </c:pt>
                <c:pt idx="14">
                  <c:v>651.386011499894</c:v>
                </c:pt>
                <c:pt idx="15">
                  <c:v>717.5600067929587</c:v>
                </c:pt>
                <c:pt idx="16">
                  <c:v>787.3045307579883</c:v>
                </c:pt>
                <c:pt idx="17">
                  <c:v>860.8746211572658</c:v>
                </c:pt>
                <c:pt idx="18">
                  <c:v>938.5253157530748</c:v>
                </c:pt>
                <c:pt idx="19">
                  <c:v>1020.5116523076981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Tabel!$R$5</c:f>
              <c:strCache>
                <c:ptCount val="1"/>
                <c:pt idx="0">
                  <c:v>9%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Tabel!$R$6:$R$25</c:f>
              <c:numCache>
                <c:ptCount val="20"/>
                <c:pt idx="0">
                  <c:v>169.3210362903505</c:v>
                </c:pt>
                <c:pt idx="1">
                  <c:v>194.14735016610862</c:v>
                </c:pt>
                <c:pt idx="2">
                  <c:v>219.2287018041499</c:v>
                </c:pt>
                <c:pt idx="3">
                  <c:v>244.59697092475977</c:v>
                </c:pt>
                <c:pt idx="4">
                  <c:v>270.2840372482237</c:v>
                </c:pt>
                <c:pt idx="5">
                  <c:v>296.32178049482707</c:v>
                </c:pt>
                <c:pt idx="6">
                  <c:v>322.74208038485517</c:v>
                </c:pt>
                <c:pt idx="7">
                  <c:v>349.5768166385935</c:v>
                </c:pt>
                <c:pt idx="8">
                  <c:v>376.85786897632744</c:v>
                </c:pt>
                <c:pt idx="9">
                  <c:v>404.61711711834243</c:v>
                </c:pt>
                <c:pt idx="10">
                  <c:v>461.69771969635696</c:v>
                </c:pt>
                <c:pt idx="11">
                  <c:v>521.0736621349204</c:v>
                </c:pt>
                <c:pt idx="12">
                  <c:v>582.9999821963158</c:v>
                </c:pt>
                <c:pt idx="13">
                  <c:v>647.7317176428268</c:v>
                </c:pt>
                <c:pt idx="14">
                  <c:v>715.523906236736</c:v>
                </c:pt>
                <c:pt idx="15">
                  <c:v>786.6315857403268</c:v>
                </c:pt>
                <c:pt idx="16">
                  <c:v>861.3097939158829</c:v>
                </c:pt>
                <c:pt idx="17">
                  <c:v>939.8135685256868</c:v>
                </c:pt>
                <c:pt idx="18">
                  <c:v>1022.397947332022</c:v>
                </c:pt>
                <c:pt idx="19">
                  <c:v>1109.3179680971716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Tabel!$S$5</c:f>
              <c:strCache>
                <c:ptCount val="1"/>
                <c:pt idx="0">
                  <c:v>10%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Tabel!$S$6:$S$25</c:f>
              <c:numCache>
                <c:ptCount val="20"/>
                <c:pt idx="0">
                  <c:v>186.58893102719264</c:v>
                </c:pt>
                <c:pt idx="1">
                  <c:v>213.8820870082139</c:v>
                </c:pt>
                <c:pt idx="2">
                  <c:v>241.43028075151832</c:v>
                </c:pt>
                <c:pt idx="3">
                  <c:v>269.2653919773914</c:v>
                </c:pt>
                <c:pt idx="4">
                  <c:v>297.4193004061185</c:v>
                </c:pt>
                <c:pt idx="5">
                  <c:v>325.923885757985</c:v>
                </c:pt>
                <c:pt idx="6">
                  <c:v>354.81102775327633</c:v>
                </c:pt>
                <c:pt idx="7">
                  <c:v>384.11260611227783</c:v>
                </c:pt>
                <c:pt idx="8">
                  <c:v>413.86050055527494</c:v>
                </c:pt>
                <c:pt idx="9">
                  <c:v>444.086590802553</c:v>
                </c:pt>
                <c:pt idx="10">
                  <c:v>506.1008775910939</c:v>
                </c:pt>
                <c:pt idx="11">
                  <c:v>570.4105042401835</c:v>
                </c:pt>
                <c:pt idx="12">
                  <c:v>637.2705085121055</c:v>
                </c:pt>
                <c:pt idx="13">
                  <c:v>706.9359281691426</c:v>
                </c:pt>
                <c:pt idx="14">
                  <c:v>779.6618009735784</c:v>
                </c:pt>
                <c:pt idx="15">
                  <c:v>855.7031646876954</c:v>
                </c:pt>
                <c:pt idx="16">
                  <c:v>935.3150570737777</c:v>
                </c:pt>
                <c:pt idx="17">
                  <c:v>1018.7525158941079</c:v>
                </c:pt>
                <c:pt idx="18">
                  <c:v>1106.2705789109696</c:v>
                </c:pt>
                <c:pt idx="19">
                  <c:v>1198.1242838866456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Tabel!$T$5</c:f>
              <c:strCache>
                <c:ptCount val="1"/>
                <c:pt idx="0">
                  <c:v>11%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Tabel!$T$6:$T$25</c:f>
              <c:numCache>
                <c:ptCount val="20"/>
                <c:pt idx="0">
                  <c:v>203.8568257640347</c:v>
                </c:pt>
                <c:pt idx="1">
                  <c:v>233.61682385031912</c:v>
                </c:pt>
                <c:pt idx="2">
                  <c:v>263.63185969888673</c:v>
                </c:pt>
                <c:pt idx="3">
                  <c:v>293.9338130300229</c:v>
                </c:pt>
                <c:pt idx="4">
                  <c:v>324.55456356401316</c:v>
                </c:pt>
                <c:pt idx="5">
                  <c:v>355.52599102114283</c:v>
                </c:pt>
                <c:pt idx="6">
                  <c:v>386.87997512169727</c:v>
                </c:pt>
                <c:pt idx="7">
                  <c:v>418.64839558596196</c:v>
                </c:pt>
                <c:pt idx="8">
                  <c:v>450.8631321342222</c:v>
                </c:pt>
                <c:pt idx="9">
                  <c:v>483.5560644867635</c:v>
                </c:pt>
                <c:pt idx="10">
                  <c:v>550.5040354858306</c:v>
                </c:pt>
                <c:pt idx="11">
                  <c:v>619.7473463454467</c:v>
                </c:pt>
                <c:pt idx="12">
                  <c:v>691.5410348278949</c:v>
                </c:pt>
                <c:pt idx="13">
                  <c:v>766.1401386954583</c:v>
                </c:pt>
                <c:pt idx="14">
                  <c:v>843.7996957104202</c:v>
                </c:pt>
                <c:pt idx="15">
                  <c:v>924.7747436350637</c:v>
                </c:pt>
                <c:pt idx="16">
                  <c:v>1009.3203202316722</c:v>
                </c:pt>
                <c:pt idx="17">
                  <c:v>1097.691463262529</c:v>
                </c:pt>
                <c:pt idx="18">
                  <c:v>1190.1432104899168</c:v>
                </c:pt>
                <c:pt idx="19">
                  <c:v>1286.930599676119</c:v>
                </c:pt>
              </c:numCache>
            </c:numRef>
          </c:val>
          <c:smooth val="0"/>
        </c:ser>
        <c:marker val="1"/>
        <c:axId val="39944500"/>
        <c:axId val="62243989"/>
      </c:lineChart>
      <c:catAx>
        <c:axId val="3994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snelheid (km/uur)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62243989"/>
        <c:crosses val="autoZero"/>
        <c:auto val="1"/>
        <c:lblOffset val="100"/>
        <c:noMultiLvlLbl val="0"/>
      </c:catAx>
      <c:valAx>
        <c:axId val="622439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Vermogen (J/s)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9944500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23825"/>
        </c:manualLayout>
      </c:layout>
      <c:overlay val="0"/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et.janssen@hetnet.n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5"/>
  <sheetViews>
    <sheetView tabSelected="1" workbookViewId="0" topLeftCell="A1">
      <selection activeCell="N62" sqref="N62"/>
    </sheetView>
  </sheetViews>
  <sheetFormatPr defaultColWidth="9.140625" defaultRowHeight="12.75"/>
  <cols>
    <col min="1" max="13" width="8.8515625" style="0" customWidth="1"/>
    <col min="14" max="14" width="13.28125" style="0" customWidth="1"/>
    <col min="15" max="16384" width="8.8515625" style="0" customWidth="1"/>
  </cols>
  <sheetData>
    <row r="1" ht="15.75">
      <c r="B1" s="135" t="s">
        <v>28</v>
      </c>
    </row>
    <row r="3" spans="2:6" ht="12.75">
      <c r="B3" s="2" t="s">
        <v>11</v>
      </c>
      <c r="C3" s="2"/>
      <c r="D3" s="2"/>
      <c r="E3" s="2"/>
      <c r="F3" s="2"/>
    </row>
    <row r="4" ht="12.75">
      <c r="B4" t="s">
        <v>34</v>
      </c>
    </row>
    <row r="5" ht="12.75">
      <c r="B5" t="s">
        <v>29</v>
      </c>
    </row>
    <row r="7" spans="1:14" ht="12.75">
      <c r="A7" s="3"/>
      <c r="B7" s="3" t="s">
        <v>32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 t="s">
        <v>35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95" t="s">
        <v>15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89"/>
    </row>
    <row r="11" spans="1:14" ht="12.75">
      <c r="A11" s="3"/>
      <c r="B11" s="132" t="s">
        <v>30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90"/>
    </row>
    <row r="12" spans="1:14" ht="12.75">
      <c r="A12" s="3"/>
      <c r="B12" s="132" t="s">
        <v>31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90"/>
    </row>
    <row r="13" spans="1:14" ht="12.75">
      <c r="A13" s="3"/>
      <c r="B13" s="224" t="str">
        <f>Tabel!B5</f>
        <v>gewicht fietser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90" t="s">
        <v>171</v>
      </c>
    </row>
    <row r="14" spans="1:14" ht="12.75">
      <c r="A14" s="3"/>
      <c r="B14" s="224" t="str">
        <f>Tabel!B6</f>
        <v>fietsgewicht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90"/>
    </row>
    <row r="15" spans="1:14" ht="12.75">
      <c r="A15" s="3"/>
      <c r="B15" s="224" t="str">
        <f>Tabel!B7</f>
        <v>drank, materiaal, kledij, …</v>
      </c>
      <c r="C15" s="133"/>
      <c r="D15" s="133"/>
      <c r="E15" s="133"/>
      <c r="F15" s="133" t="s">
        <v>16</v>
      </c>
      <c r="G15" s="133"/>
      <c r="H15" s="133"/>
      <c r="I15" s="133"/>
      <c r="J15" s="133"/>
      <c r="K15" s="133"/>
      <c r="L15" s="133"/>
      <c r="M15" s="133"/>
      <c r="N15" s="190"/>
    </row>
    <row r="16" spans="1:14" ht="12.75">
      <c r="A16" s="3"/>
      <c r="B16" s="224" t="str">
        <f>Tabel!B8</f>
        <v>gewicht fiets + toebehoren</v>
      </c>
      <c r="C16" s="133"/>
      <c r="D16" s="133"/>
      <c r="E16" s="133"/>
      <c r="F16" s="133" t="s">
        <v>18</v>
      </c>
      <c r="G16" s="133"/>
      <c r="H16" s="133"/>
      <c r="I16" s="133"/>
      <c r="J16" s="133"/>
      <c r="K16" s="133"/>
      <c r="L16" s="133"/>
      <c r="M16" s="133"/>
      <c r="N16" s="190" t="s">
        <v>194</v>
      </c>
    </row>
    <row r="17" spans="1:14" ht="12.75">
      <c r="A17" s="3"/>
      <c r="B17" s="224" t="str">
        <f>Tabel!B9</f>
        <v>totaal gewicht</v>
      </c>
      <c r="C17" s="133"/>
      <c r="D17" s="133"/>
      <c r="E17" s="133"/>
      <c r="F17" s="133" t="s">
        <v>18</v>
      </c>
      <c r="G17" s="133"/>
      <c r="H17" s="133"/>
      <c r="I17" s="133"/>
      <c r="J17" s="133"/>
      <c r="K17" s="133"/>
      <c r="L17" s="133"/>
      <c r="M17" s="133"/>
      <c r="N17" s="190" t="s">
        <v>172</v>
      </c>
    </row>
    <row r="18" spans="1:14" ht="12.75">
      <c r="A18" s="3"/>
      <c r="B18" s="224" t="str">
        <f>Tabel!B10</f>
        <v>wielomtrek</v>
      </c>
      <c r="C18" s="133"/>
      <c r="D18" s="133"/>
      <c r="E18" s="133"/>
      <c r="F18" s="121" t="s">
        <v>182</v>
      </c>
      <c r="G18" s="133"/>
      <c r="H18" s="133"/>
      <c r="I18" s="133"/>
      <c r="J18" s="133"/>
      <c r="K18" s="133"/>
      <c r="L18" s="133"/>
      <c r="M18" s="133"/>
      <c r="N18" s="190" t="s">
        <v>193</v>
      </c>
    </row>
    <row r="19" spans="1:14" ht="12.75">
      <c r="A19" s="3"/>
      <c r="B19" s="224" t="str">
        <f>Tabel!B11</f>
        <v>persoonlijk maximaal uurgemiddelde</v>
      </c>
      <c r="C19" s="133"/>
      <c r="D19" s="133"/>
      <c r="E19" s="133"/>
      <c r="F19" s="121" t="s">
        <v>189</v>
      </c>
      <c r="G19" s="133"/>
      <c r="H19" s="133"/>
      <c r="I19" s="133"/>
      <c r="J19" s="133"/>
      <c r="K19" s="133"/>
      <c r="L19" s="133"/>
      <c r="M19" s="133"/>
      <c r="N19" s="190" t="s">
        <v>170</v>
      </c>
    </row>
    <row r="20" spans="1:14" ht="12.75">
      <c r="A20" s="3"/>
      <c r="B20" s="224" t="str">
        <f>Tabel!B12</f>
        <v>berekend max. vermogen</v>
      </c>
      <c r="C20" s="133"/>
      <c r="D20" s="133"/>
      <c r="E20" s="133"/>
      <c r="F20" s="133" t="s">
        <v>18</v>
      </c>
      <c r="G20" s="133"/>
      <c r="H20" s="133"/>
      <c r="I20" s="133"/>
      <c r="J20" s="133"/>
      <c r="K20" s="133"/>
      <c r="L20" s="133"/>
      <c r="M20" s="133"/>
      <c r="N20" s="190" t="s">
        <v>185</v>
      </c>
    </row>
    <row r="21" spans="1:14" ht="12.75">
      <c r="A21" s="3"/>
      <c r="B21" s="224" t="str">
        <f>Tabel!B13</f>
        <v>reductiecoëfficiënt toegestane vermogen</v>
      </c>
      <c r="C21" s="133"/>
      <c r="D21" s="133"/>
      <c r="E21" s="133"/>
      <c r="F21" s="133" t="s">
        <v>99</v>
      </c>
      <c r="G21" s="133"/>
      <c r="H21" s="133"/>
      <c r="I21" s="133"/>
      <c r="J21" s="133"/>
      <c r="K21" s="133"/>
      <c r="L21" s="133"/>
      <c r="M21" s="133"/>
      <c r="N21" s="190"/>
    </row>
    <row r="22" spans="1:14" ht="12.75">
      <c r="A22" s="3"/>
      <c r="B22" s="224" t="str">
        <f>Tabel!B14</f>
        <v>gereduceerd vermogen</v>
      </c>
      <c r="C22" s="133"/>
      <c r="D22" s="133"/>
      <c r="E22" s="133"/>
      <c r="F22" s="133" t="s">
        <v>100</v>
      </c>
      <c r="G22" s="133"/>
      <c r="H22" s="133"/>
      <c r="I22" s="133"/>
      <c r="J22" s="133"/>
      <c r="K22" s="133"/>
      <c r="L22" s="133"/>
      <c r="M22" s="133"/>
      <c r="N22" s="190" t="s">
        <v>186</v>
      </c>
    </row>
    <row r="23" spans="1:14" ht="12.75">
      <c r="A23" s="3"/>
      <c r="B23" s="224" t="str">
        <f>Tabel!B15</f>
        <v>windsnelheid (enkel bij klimmen)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90" t="s">
        <v>192</v>
      </c>
    </row>
    <row r="24" spans="1:14" ht="12.75">
      <c r="A24" s="3"/>
      <c r="B24" s="224" t="str">
        <f>Tabel!B16</f>
        <v>snelheidstoename</v>
      </c>
      <c r="C24" s="133"/>
      <c r="D24" s="133"/>
      <c r="E24" s="133"/>
      <c r="F24" s="133" t="s">
        <v>19</v>
      </c>
      <c r="G24" s="133"/>
      <c r="H24" s="133"/>
      <c r="I24" s="133"/>
      <c r="J24" s="133"/>
      <c r="K24" s="133"/>
      <c r="L24" s="133"/>
      <c r="M24" s="133"/>
      <c r="N24" s="190" t="s">
        <v>191</v>
      </c>
    </row>
    <row r="25" spans="1:14" ht="12.75">
      <c r="A25" s="3"/>
      <c r="B25" s="132"/>
      <c r="C25" s="133"/>
      <c r="D25" s="133"/>
      <c r="E25" s="133"/>
      <c r="F25" s="121" t="s">
        <v>183</v>
      </c>
      <c r="G25" s="133"/>
      <c r="H25" s="133"/>
      <c r="I25" s="133"/>
      <c r="J25" s="133"/>
      <c r="K25" s="133"/>
      <c r="L25" s="133"/>
      <c r="M25" s="133"/>
      <c r="N25" s="190"/>
    </row>
    <row r="26" spans="1:14" ht="12.75">
      <c r="A26" s="3"/>
      <c r="B26" s="224" t="str">
        <f>Tabel!B17</f>
        <v>max klimsnelheid</v>
      </c>
      <c r="C26" s="133"/>
      <c r="D26" s="133"/>
      <c r="E26" s="133"/>
      <c r="F26" s="121" t="s">
        <v>184</v>
      </c>
      <c r="G26" s="133"/>
      <c r="H26" s="133"/>
      <c r="I26" s="133"/>
      <c r="J26" s="133"/>
      <c r="K26" s="133"/>
      <c r="L26" s="133"/>
      <c r="M26" s="133"/>
      <c r="N26" s="190" t="s">
        <v>190</v>
      </c>
    </row>
    <row r="27" spans="1:14" ht="12.75">
      <c r="A27" s="3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90"/>
    </row>
    <row r="28" spans="1:14" ht="12.75">
      <c r="A28" s="3"/>
      <c r="B28" s="224" t="str">
        <f>Tabel!B19</f>
        <v>energieverbruik per uur per kg lichaamsgewicht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90"/>
    </row>
    <row r="29" spans="1:14" ht="12.75">
      <c r="A29" s="3"/>
      <c r="B29" s="224" t="str">
        <f>Tabel!B20</f>
        <v>berekend vermogen bij max uurgem. kJ/kg/hr</v>
      </c>
      <c r="C29" s="133"/>
      <c r="D29" s="133"/>
      <c r="E29" s="133"/>
      <c r="F29" s="156"/>
      <c r="G29" s="133" t="s">
        <v>137</v>
      </c>
      <c r="H29" s="133"/>
      <c r="I29" s="133"/>
      <c r="J29" s="133"/>
      <c r="K29" s="133"/>
      <c r="L29" s="133"/>
      <c r="M29" s="133"/>
      <c r="N29" s="190"/>
    </row>
    <row r="30" spans="1:14" ht="12.75">
      <c r="A30" s="3"/>
      <c r="B30" s="224" t="str">
        <f>Tabel!B21</f>
        <v>benodigde energie bij max uurgem.     kJ/kg/hr</v>
      </c>
      <c r="C30" s="133"/>
      <c r="D30" s="133"/>
      <c r="E30" s="133"/>
      <c r="F30" s="133"/>
      <c r="G30" s="133" t="s">
        <v>138</v>
      </c>
      <c r="H30" s="133"/>
      <c r="I30" s="133"/>
      <c r="J30" s="133"/>
      <c r="K30" s="133"/>
      <c r="L30" s="133"/>
      <c r="M30" s="133"/>
      <c r="N30" s="190"/>
    </row>
    <row r="31" spans="1:14" ht="12.75">
      <c r="A31" s="3"/>
      <c r="B31" s="225" t="str">
        <f>Tabel!C22</f>
        <v>rendement</v>
      </c>
      <c r="C31" s="134"/>
      <c r="D31" s="134"/>
      <c r="E31" s="134"/>
      <c r="F31" s="134"/>
      <c r="G31" s="134" t="s">
        <v>139</v>
      </c>
      <c r="H31" s="134"/>
      <c r="I31" s="134"/>
      <c r="J31" s="134"/>
      <c r="K31" s="134"/>
      <c r="L31" s="134"/>
      <c r="M31" s="134"/>
      <c r="N31" s="191" t="s">
        <v>195</v>
      </c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 t="s">
        <v>39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 t="s">
        <v>97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 t="s">
        <v>101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1" t="s">
        <v>216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 t="s">
        <v>217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 t="s">
        <v>91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 t="s">
        <v>218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 t="s">
        <v>92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1" t="s">
        <v>37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 t="s">
        <v>33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 t="s">
        <v>84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 t="s">
        <v>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 t="s">
        <v>88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 t="s">
        <v>89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 t="s">
        <v>94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1" t="s">
        <v>83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 t="s">
        <v>95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 t="s">
        <v>12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 t="s">
        <v>13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 t="s">
        <v>14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 t="s"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1" t="s">
        <v>110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 t="s">
        <v>102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 t="s">
        <v>98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 t="s">
        <v>87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 t="s">
        <v>187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 t="s">
        <v>113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 t="s">
        <v>111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 t="s">
        <v>188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 t="s">
        <v>124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 t="s">
        <v>143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1" t="s">
        <v>215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t="s">
        <v>220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t="s">
        <v>205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t="s">
        <v>206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t="str">
        <f>"in cel "&amp;ADDRESS(ROW(Cols!B17),COLUMN(Cols!B17),4,TRUE)&amp;" kan je kiezen van welke col je de klimplanning wilt berekenen"</f>
        <v>in cel B17 kan je kiezen van welke col je de klimplanning wilt berekenen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t="s">
        <v>207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t="s">
        <v>208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t="s">
        <v>209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t="s">
        <v>211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t="s">
        <v>210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t="s">
        <v>219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t="s">
        <v>214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 t="s">
        <v>93</v>
      </c>
      <c r="C85" s="3"/>
      <c r="D85" s="3"/>
      <c r="E85" s="3"/>
      <c r="F85" s="3"/>
      <c r="G85" s="3"/>
      <c r="H85" s="157" t="s">
        <v>142</v>
      </c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137" t="s">
        <v>85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</sheetData>
  <sheetProtection sheet="1" objects="1" scenarios="1"/>
  <hyperlinks>
    <hyperlink ref="H85" r:id="rId1" display="loet.janssen@hetnet.nl"/>
  </hyperlink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89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2.140625" style="10" customWidth="1"/>
    <col min="2" max="4" width="10.28125" style="10" customWidth="1"/>
    <col min="5" max="5" width="5.421875" style="10" customWidth="1"/>
    <col min="6" max="7" width="8.28125" style="10" customWidth="1"/>
    <col min="8" max="8" width="14.140625" style="10" customWidth="1"/>
    <col min="9" max="9" width="9.28125" style="10" customWidth="1"/>
    <col min="10" max="11" width="9.140625" style="10" customWidth="1"/>
    <col min="12" max="12" width="9.421875" style="10" customWidth="1"/>
    <col min="13" max="20" width="9.140625" style="10" customWidth="1"/>
    <col min="21" max="21" width="5.7109375" style="10" customWidth="1"/>
    <col min="22" max="22" width="5.57421875" style="10" customWidth="1"/>
    <col min="23" max="23" width="6.421875" style="10" customWidth="1"/>
    <col min="24" max="24" width="5.8515625" style="10" customWidth="1"/>
    <col min="25" max="26" width="6.7109375" style="10" customWidth="1"/>
    <col min="27" max="16384" width="9.140625" style="10" customWidth="1"/>
  </cols>
  <sheetData>
    <row r="1" spans="2:20" ht="25.5">
      <c r="B1" s="9" t="s">
        <v>63</v>
      </c>
      <c r="T1" s="96" t="s">
        <v>86</v>
      </c>
    </row>
    <row r="2" ht="13.5" thickBot="1">
      <c r="U2" s="14"/>
    </row>
    <row r="3" spans="2:21" ht="12.75">
      <c r="B3" s="11" t="s">
        <v>15</v>
      </c>
      <c r="C3" s="12"/>
      <c r="D3" s="12"/>
      <c r="E3" s="12"/>
      <c r="F3" s="13"/>
      <c r="G3" s="14"/>
      <c r="H3" s="15" t="s">
        <v>36</v>
      </c>
      <c r="I3" s="16" t="s">
        <v>38</v>
      </c>
      <c r="J3" s="17"/>
      <c r="K3" s="16"/>
      <c r="L3" s="17"/>
      <c r="M3" s="18"/>
      <c r="N3" s="19"/>
      <c r="O3" s="19"/>
      <c r="P3" s="19"/>
      <c r="Q3" s="19"/>
      <c r="R3" s="19"/>
      <c r="S3" s="19"/>
      <c r="T3" s="20"/>
      <c r="U3" s="14"/>
    </row>
    <row r="4" spans="2:21" ht="12.75">
      <c r="B4" s="23" t="s">
        <v>107</v>
      </c>
      <c r="C4" s="14"/>
      <c r="D4" s="162" t="s">
        <v>221</v>
      </c>
      <c r="E4" s="160"/>
      <c r="F4" s="161"/>
      <c r="G4" s="14"/>
      <c r="H4" s="24" t="s">
        <v>26</v>
      </c>
      <c r="I4" s="25" t="s">
        <v>21</v>
      </c>
      <c r="J4" s="25"/>
      <c r="K4" s="25"/>
      <c r="L4" s="25"/>
      <c r="M4" s="25"/>
      <c r="N4" s="25"/>
      <c r="O4" s="25"/>
      <c r="P4" s="25"/>
      <c r="Q4" s="25"/>
      <c r="R4" s="25"/>
      <c r="S4" s="123" t="s">
        <v>82</v>
      </c>
      <c r="T4" s="164">
        <v>0.01</v>
      </c>
      <c r="U4" s="14"/>
    </row>
    <row r="5" spans="2:24" ht="13.5" thickBot="1">
      <c r="B5" s="23" t="s">
        <v>9</v>
      </c>
      <c r="C5" s="14"/>
      <c r="D5" s="14"/>
      <c r="E5" s="14" t="s">
        <v>72</v>
      </c>
      <c r="F5" s="97">
        <v>73</v>
      </c>
      <c r="G5" s="14"/>
      <c r="H5" s="26" t="s">
        <v>27</v>
      </c>
      <c r="I5" s="165">
        <v>0</v>
      </c>
      <c r="J5" s="166">
        <f aca="true" t="shared" si="0" ref="J5:T5">I5+$T4</f>
        <v>0.01</v>
      </c>
      <c r="K5" s="166">
        <f t="shared" si="0"/>
        <v>0.02</v>
      </c>
      <c r="L5" s="166">
        <f t="shared" si="0"/>
        <v>0.03</v>
      </c>
      <c r="M5" s="166">
        <f t="shared" si="0"/>
        <v>0.04</v>
      </c>
      <c r="N5" s="166">
        <f t="shared" si="0"/>
        <v>0.05</v>
      </c>
      <c r="O5" s="166">
        <f t="shared" si="0"/>
        <v>0.060000000000000005</v>
      </c>
      <c r="P5" s="166">
        <f t="shared" si="0"/>
        <v>0.07</v>
      </c>
      <c r="Q5" s="166">
        <f t="shared" si="0"/>
        <v>0.08</v>
      </c>
      <c r="R5" s="166">
        <f t="shared" si="0"/>
        <v>0.09</v>
      </c>
      <c r="S5" s="166">
        <f t="shared" si="0"/>
        <v>0.09999999999999999</v>
      </c>
      <c r="T5" s="167">
        <f t="shared" si="0"/>
        <v>0.10999999999999999</v>
      </c>
      <c r="X5" s="122" t="s">
        <v>109</v>
      </c>
    </row>
    <row r="6" spans="2:25" ht="12.75">
      <c r="B6" s="23" t="s">
        <v>75</v>
      </c>
      <c r="C6" s="14"/>
      <c r="D6" s="14"/>
      <c r="E6" s="14" t="s">
        <v>72</v>
      </c>
      <c r="F6" s="97">
        <v>10</v>
      </c>
      <c r="G6" s="14"/>
      <c r="H6" s="4">
        <v>7</v>
      </c>
      <c r="I6" s="194">
        <f aca="true" t="shared" si="1" ref="I6:T15">(Opp*Rho*(Gpers/75)^0.7*0.5*($H6/3.6)*(Vwind+$H6/3.6)^2+(Cr+I$5)*9.81*Gtot*$H6/3.6)/Cf</f>
        <v>13.909983658771557</v>
      </c>
      <c r="J6" s="195">
        <f t="shared" si="1"/>
        <v>31.17787839561367</v>
      </c>
      <c r="K6" s="195">
        <f t="shared" si="1"/>
        <v>48.44577313245577</v>
      </c>
      <c r="L6" s="195">
        <f t="shared" si="1"/>
        <v>65.71366786929788</v>
      </c>
      <c r="M6" s="195">
        <f t="shared" si="1"/>
        <v>82.98156260613999</v>
      </c>
      <c r="N6" s="195">
        <f t="shared" si="1"/>
        <v>100.24945734298211</v>
      </c>
      <c r="O6" s="195">
        <f t="shared" si="1"/>
        <v>117.5173520798242</v>
      </c>
      <c r="P6" s="195">
        <f t="shared" si="1"/>
        <v>134.78524681666636</v>
      </c>
      <c r="Q6" s="195">
        <f t="shared" si="1"/>
        <v>152.05314155350842</v>
      </c>
      <c r="R6" s="195">
        <f t="shared" si="1"/>
        <v>169.3210362903505</v>
      </c>
      <c r="S6" s="195">
        <f t="shared" si="1"/>
        <v>186.58893102719264</v>
      </c>
      <c r="T6" s="196">
        <f t="shared" si="1"/>
        <v>203.8568257640347</v>
      </c>
      <c r="U6" s="28">
        <f>H6</f>
        <v>7</v>
      </c>
      <c r="X6" s="21" t="s">
        <v>66</v>
      </c>
      <c r="Y6" s="22" t="s">
        <v>67</v>
      </c>
    </row>
    <row r="7" spans="2:25" ht="12.75">
      <c r="B7" s="23" t="s">
        <v>8</v>
      </c>
      <c r="C7" s="14"/>
      <c r="D7" s="14"/>
      <c r="E7" s="14" t="s">
        <v>72</v>
      </c>
      <c r="F7" s="97">
        <v>3</v>
      </c>
      <c r="H7" s="29">
        <f>+H6+Vdif</f>
        <v>8</v>
      </c>
      <c r="I7" s="197">
        <f t="shared" si="1"/>
        <v>16.534718587161226</v>
      </c>
      <c r="J7" s="198">
        <f t="shared" si="1"/>
        <v>36.26945542926649</v>
      </c>
      <c r="K7" s="198">
        <f t="shared" si="1"/>
        <v>56.00419227137175</v>
      </c>
      <c r="L7" s="198">
        <f t="shared" si="1"/>
        <v>75.73892911347701</v>
      </c>
      <c r="M7" s="198">
        <f t="shared" si="1"/>
        <v>95.47366595558228</v>
      </c>
      <c r="N7" s="198">
        <f t="shared" si="1"/>
        <v>115.20840279768755</v>
      </c>
      <c r="O7" s="198">
        <f t="shared" si="1"/>
        <v>134.9431396397928</v>
      </c>
      <c r="P7" s="198">
        <f t="shared" si="1"/>
        <v>154.6778764818981</v>
      </c>
      <c r="Q7" s="198">
        <f t="shared" si="1"/>
        <v>174.41261332400336</v>
      </c>
      <c r="R7" s="198">
        <f t="shared" si="1"/>
        <v>194.14735016610862</v>
      </c>
      <c r="S7" s="198">
        <f t="shared" si="1"/>
        <v>213.8820870082139</v>
      </c>
      <c r="T7" s="199">
        <f t="shared" si="1"/>
        <v>233.61682385031912</v>
      </c>
      <c r="U7" s="28">
        <f aca="true" t="shared" si="2" ref="U7:U25">H7</f>
        <v>8</v>
      </c>
      <c r="X7" s="168">
        <f aca="true" t="shared" si="3" ref="X7:X12">X8-0.02</f>
        <v>-0.12000000000000001</v>
      </c>
      <c r="Y7" s="30">
        <f aca="true" t="shared" si="4" ref="Y7:Y12">Y8+4</f>
        <v>54</v>
      </c>
    </row>
    <row r="8" spans="2:25" ht="12.75">
      <c r="B8" s="23" t="s">
        <v>6</v>
      </c>
      <c r="C8" s="14"/>
      <c r="D8" s="14"/>
      <c r="E8" s="14" t="s">
        <v>72</v>
      </c>
      <c r="F8" s="54">
        <f>F6+F7</f>
        <v>13</v>
      </c>
      <c r="H8" s="29">
        <f aca="true" t="shared" si="5" ref="H8:H15">+H7+Vdif</f>
        <v>9</v>
      </c>
      <c r="I8" s="197">
        <f t="shared" si="1"/>
        <v>19.414491277834102</v>
      </c>
      <c r="J8" s="198">
        <f t="shared" si="1"/>
        <v>41.61607022520253</v>
      </c>
      <c r="K8" s="198">
        <f t="shared" si="1"/>
        <v>63.81764917257094</v>
      </c>
      <c r="L8" s="198">
        <f t="shared" si="1"/>
        <v>86.01922811993937</v>
      </c>
      <c r="M8" s="198">
        <f t="shared" si="1"/>
        <v>108.22080706730779</v>
      </c>
      <c r="N8" s="198">
        <f t="shared" si="1"/>
        <v>130.42238601467622</v>
      </c>
      <c r="O8" s="198">
        <f t="shared" si="1"/>
        <v>152.62396496204462</v>
      </c>
      <c r="P8" s="198">
        <f t="shared" si="1"/>
        <v>174.82554390941308</v>
      </c>
      <c r="Q8" s="198">
        <f t="shared" si="1"/>
        <v>197.0271228567815</v>
      </c>
      <c r="R8" s="198">
        <f t="shared" si="1"/>
        <v>219.2287018041499</v>
      </c>
      <c r="S8" s="198">
        <f t="shared" si="1"/>
        <v>241.43028075151832</v>
      </c>
      <c r="T8" s="199">
        <f t="shared" si="1"/>
        <v>263.63185969888673</v>
      </c>
      <c r="U8" s="28">
        <f t="shared" si="2"/>
        <v>9</v>
      </c>
      <c r="X8" s="168">
        <f t="shared" si="3"/>
        <v>-0.1</v>
      </c>
      <c r="Y8" s="30">
        <f t="shared" si="4"/>
        <v>50</v>
      </c>
    </row>
    <row r="9" spans="2:25" ht="12.75">
      <c r="B9" s="23" t="s">
        <v>90</v>
      </c>
      <c r="C9" s="14"/>
      <c r="D9" s="14"/>
      <c r="E9" s="25" t="s">
        <v>72</v>
      </c>
      <c r="F9" s="54">
        <f>Gpers+Gfiets</f>
        <v>86</v>
      </c>
      <c r="G9" s="14"/>
      <c r="H9" s="29">
        <f t="shared" si="5"/>
        <v>10</v>
      </c>
      <c r="I9" s="197">
        <f t="shared" si="1"/>
        <v>22.581181451075583</v>
      </c>
      <c r="J9" s="198">
        <f t="shared" si="1"/>
        <v>47.24960250370717</v>
      </c>
      <c r="K9" s="198">
        <f t="shared" si="1"/>
        <v>71.91802355633874</v>
      </c>
      <c r="L9" s="198">
        <f t="shared" si="1"/>
        <v>96.58644460897033</v>
      </c>
      <c r="M9" s="198">
        <f t="shared" si="1"/>
        <v>121.25486566160188</v>
      </c>
      <c r="N9" s="198">
        <f t="shared" si="1"/>
        <v>145.92328671423348</v>
      </c>
      <c r="O9" s="198">
        <f t="shared" si="1"/>
        <v>170.59170776686506</v>
      </c>
      <c r="P9" s="198">
        <f t="shared" si="1"/>
        <v>195.26012881949666</v>
      </c>
      <c r="Q9" s="198">
        <f t="shared" si="1"/>
        <v>219.92854987212826</v>
      </c>
      <c r="R9" s="198">
        <f t="shared" si="1"/>
        <v>244.59697092475977</v>
      </c>
      <c r="S9" s="198">
        <f t="shared" si="1"/>
        <v>269.2653919773914</v>
      </c>
      <c r="T9" s="199">
        <f t="shared" si="1"/>
        <v>293.9338130300229</v>
      </c>
      <c r="U9" s="28">
        <f t="shared" si="2"/>
        <v>10</v>
      </c>
      <c r="X9" s="168">
        <f t="shared" si="3"/>
        <v>-0.08</v>
      </c>
      <c r="Y9" s="30">
        <f t="shared" si="4"/>
        <v>46</v>
      </c>
    </row>
    <row r="10" spans="2:25" ht="12.75">
      <c r="B10" s="23" t="s">
        <v>76</v>
      </c>
      <c r="C10" s="14"/>
      <c r="D10" s="14"/>
      <c r="E10" s="14" t="s">
        <v>73</v>
      </c>
      <c r="F10" s="97">
        <v>210</v>
      </c>
      <c r="G10" s="14"/>
      <c r="H10" s="29">
        <f t="shared" si="5"/>
        <v>11</v>
      </c>
      <c r="I10" s="197">
        <f t="shared" si="1"/>
        <v>26.06666882717107</v>
      </c>
      <c r="J10" s="198">
        <f t="shared" si="1"/>
        <v>53.20193198506582</v>
      </c>
      <c r="K10" s="198">
        <f t="shared" si="1"/>
        <v>80.33719514296052</v>
      </c>
      <c r="L10" s="198">
        <f t="shared" si="1"/>
        <v>107.47245830085528</v>
      </c>
      <c r="M10" s="198">
        <f t="shared" si="1"/>
        <v>134.60772145875</v>
      </c>
      <c r="N10" s="198">
        <f t="shared" si="1"/>
        <v>161.74298461664478</v>
      </c>
      <c r="O10" s="198">
        <f t="shared" si="1"/>
        <v>188.8782477745395</v>
      </c>
      <c r="P10" s="198">
        <f t="shared" si="1"/>
        <v>216.01351093243431</v>
      </c>
      <c r="Q10" s="198">
        <f t="shared" si="1"/>
        <v>243.14877409032903</v>
      </c>
      <c r="R10" s="198">
        <f t="shared" si="1"/>
        <v>270.2840372482237</v>
      </c>
      <c r="S10" s="198">
        <f t="shared" si="1"/>
        <v>297.4193004061185</v>
      </c>
      <c r="T10" s="199">
        <f t="shared" si="1"/>
        <v>324.55456356401316</v>
      </c>
      <c r="U10" s="28">
        <f t="shared" si="2"/>
        <v>11</v>
      </c>
      <c r="X10" s="168">
        <f t="shared" si="3"/>
        <v>-0.06</v>
      </c>
      <c r="Y10" s="30">
        <f t="shared" si="4"/>
        <v>42</v>
      </c>
    </row>
    <row r="11" spans="2:25" ht="12.75">
      <c r="B11" s="23" t="s">
        <v>77</v>
      </c>
      <c r="C11" s="14"/>
      <c r="D11" s="14"/>
      <c r="E11" s="14" t="s">
        <v>67</v>
      </c>
      <c r="F11" s="97">
        <v>31</v>
      </c>
      <c r="G11" s="14"/>
      <c r="H11" s="29">
        <f t="shared" si="5"/>
        <v>12</v>
      </c>
      <c r="I11" s="197">
        <f t="shared" si="1"/>
        <v>29.902833126405973</v>
      </c>
      <c r="J11" s="198">
        <f t="shared" si="1"/>
        <v>59.504938389563875</v>
      </c>
      <c r="K11" s="198">
        <f t="shared" si="1"/>
        <v>89.10704365272176</v>
      </c>
      <c r="L11" s="198">
        <f t="shared" si="1"/>
        <v>118.70914891587967</v>
      </c>
      <c r="M11" s="198">
        <f t="shared" si="1"/>
        <v>148.31125417903758</v>
      </c>
      <c r="N11" s="198">
        <f t="shared" si="1"/>
        <v>177.91335944219549</v>
      </c>
      <c r="O11" s="198">
        <f t="shared" si="1"/>
        <v>207.51546470535337</v>
      </c>
      <c r="P11" s="198">
        <f t="shared" si="1"/>
        <v>237.1175699685113</v>
      </c>
      <c r="Q11" s="198">
        <f t="shared" si="1"/>
        <v>266.7196752316692</v>
      </c>
      <c r="R11" s="198">
        <f t="shared" si="1"/>
        <v>296.32178049482707</v>
      </c>
      <c r="S11" s="198">
        <f t="shared" si="1"/>
        <v>325.923885757985</v>
      </c>
      <c r="T11" s="199">
        <f t="shared" si="1"/>
        <v>355.52599102114283</v>
      </c>
      <c r="U11" s="28">
        <f t="shared" si="2"/>
        <v>12</v>
      </c>
      <c r="X11" s="168">
        <f t="shared" si="3"/>
        <v>-0.04</v>
      </c>
      <c r="Y11" s="30">
        <f t="shared" si="4"/>
        <v>38</v>
      </c>
    </row>
    <row r="12" spans="2:25" ht="12.75">
      <c r="B12" s="23" t="s">
        <v>78</v>
      </c>
      <c r="C12" s="14"/>
      <c r="D12" s="14"/>
      <c r="E12" s="14" t="s">
        <v>25</v>
      </c>
      <c r="F12" s="98">
        <f>(Opp*Rho*(Gpers/75)^0.7*0.5*(Vmax/3.6)^3+Cr*9.81*Gtot*Vmax/3.6)/Cf</f>
        <v>211.81859818793993</v>
      </c>
      <c r="G12" s="127"/>
      <c r="H12" s="29">
        <f t="shared" si="5"/>
        <v>13</v>
      </c>
      <c r="I12" s="197">
        <f t="shared" si="1"/>
        <v>34.12155406906569</v>
      </c>
      <c r="J12" s="198">
        <f t="shared" si="1"/>
        <v>66.19050143748674</v>
      </c>
      <c r="K12" s="198">
        <f t="shared" si="1"/>
        <v>98.2594488059078</v>
      </c>
      <c r="L12" s="198">
        <f t="shared" si="1"/>
        <v>130.32839617432884</v>
      </c>
      <c r="M12" s="198">
        <f t="shared" si="1"/>
        <v>162.3973435427499</v>
      </c>
      <c r="N12" s="198">
        <f t="shared" si="1"/>
        <v>194.46629091117097</v>
      </c>
      <c r="O12" s="198">
        <f t="shared" si="1"/>
        <v>226.53523827959202</v>
      </c>
      <c r="P12" s="198">
        <f t="shared" si="1"/>
        <v>258.60418564801313</v>
      </c>
      <c r="Q12" s="198">
        <f t="shared" si="1"/>
        <v>290.6731330164342</v>
      </c>
      <c r="R12" s="198">
        <f t="shared" si="1"/>
        <v>322.74208038485517</v>
      </c>
      <c r="S12" s="198">
        <f t="shared" si="1"/>
        <v>354.81102775327633</v>
      </c>
      <c r="T12" s="199">
        <f t="shared" si="1"/>
        <v>386.87997512169727</v>
      </c>
      <c r="U12" s="28">
        <f t="shared" si="2"/>
        <v>13</v>
      </c>
      <c r="X12" s="168">
        <f t="shared" si="3"/>
        <v>-0.02</v>
      </c>
      <c r="Y12" s="30">
        <f t="shared" si="4"/>
        <v>34</v>
      </c>
    </row>
    <row r="13" spans="2:25" ht="12.75">
      <c r="B13" s="23" t="s">
        <v>106</v>
      </c>
      <c r="C13" s="14"/>
      <c r="D13" s="14"/>
      <c r="E13" s="14"/>
      <c r="F13" s="99">
        <v>1</v>
      </c>
      <c r="G13" s="14"/>
      <c r="H13" s="29">
        <f t="shared" si="5"/>
        <v>14</v>
      </c>
      <c r="I13" s="197">
        <f t="shared" si="1"/>
        <v>38.754711375435605</v>
      </c>
      <c r="J13" s="198">
        <f t="shared" si="1"/>
        <v>73.29050084911982</v>
      </c>
      <c r="K13" s="198">
        <f t="shared" si="1"/>
        <v>107.82629032280403</v>
      </c>
      <c r="L13" s="198">
        <f t="shared" si="1"/>
        <v>142.36207979648825</v>
      </c>
      <c r="M13" s="198">
        <f t="shared" si="1"/>
        <v>176.89786927017246</v>
      </c>
      <c r="N13" s="198">
        <f t="shared" si="1"/>
        <v>211.43365874385668</v>
      </c>
      <c r="O13" s="198">
        <f t="shared" si="1"/>
        <v>245.9694482175409</v>
      </c>
      <c r="P13" s="198">
        <f t="shared" si="1"/>
        <v>280.50523769122515</v>
      </c>
      <c r="Q13" s="198">
        <f t="shared" si="1"/>
        <v>315.0410271649094</v>
      </c>
      <c r="R13" s="198">
        <f t="shared" si="1"/>
        <v>349.5768166385935</v>
      </c>
      <c r="S13" s="198">
        <f t="shared" si="1"/>
        <v>384.11260611227783</v>
      </c>
      <c r="T13" s="199">
        <f t="shared" si="1"/>
        <v>418.64839558596196</v>
      </c>
      <c r="U13" s="28">
        <f t="shared" si="2"/>
        <v>14</v>
      </c>
      <c r="X13" s="168">
        <f>I5</f>
        <v>0</v>
      </c>
      <c r="Y13" s="30">
        <f>VLOOKUP(vermogen,I$6:U$22,13)</f>
        <v>30</v>
      </c>
    </row>
    <row r="14" spans="2:25" ht="12.75">
      <c r="B14" s="23" t="s">
        <v>7</v>
      </c>
      <c r="C14" s="14"/>
      <c r="D14" s="14"/>
      <c r="E14" s="14" t="s">
        <v>25</v>
      </c>
      <c r="F14" s="98">
        <f>F12*F13</f>
        <v>211.81859818793993</v>
      </c>
      <c r="G14" s="14"/>
      <c r="H14" s="29">
        <f t="shared" si="5"/>
        <v>15</v>
      </c>
      <c r="I14" s="197">
        <f t="shared" si="1"/>
        <v>43.83418476580114</v>
      </c>
      <c r="J14" s="198">
        <f t="shared" si="1"/>
        <v>80.83681634474853</v>
      </c>
      <c r="K14" s="198">
        <f t="shared" si="1"/>
        <v>117.83944792369587</v>
      </c>
      <c r="L14" s="198">
        <f t="shared" si="1"/>
        <v>154.8420795026433</v>
      </c>
      <c r="M14" s="198">
        <f t="shared" si="1"/>
        <v>191.84471108159062</v>
      </c>
      <c r="N14" s="198">
        <f t="shared" si="1"/>
        <v>228.84734266053803</v>
      </c>
      <c r="O14" s="198">
        <f t="shared" si="1"/>
        <v>265.8499742394854</v>
      </c>
      <c r="P14" s="198">
        <f t="shared" si="1"/>
        <v>302.85260581843283</v>
      </c>
      <c r="Q14" s="198">
        <f t="shared" si="1"/>
        <v>339.85523739738017</v>
      </c>
      <c r="R14" s="198">
        <f t="shared" si="1"/>
        <v>376.85786897632744</v>
      </c>
      <c r="S14" s="198">
        <f t="shared" si="1"/>
        <v>413.86050055527494</v>
      </c>
      <c r="T14" s="199">
        <f t="shared" si="1"/>
        <v>450.8631321342222</v>
      </c>
      <c r="U14" s="28">
        <f t="shared" si="2"/>
        <v>15</v>
      </c>
      <c r="X14" s="168">
        <f>J5</f>
        <v>0.01</v>
      </c>
      <c r="Y14" s="30">
        <f>VLOOKUP(vermogen,J$6:U$22,12)</f>
        <v>26</v>
      </c>
    </row>
    <row r="15" spans="2:25" ht="12.75">
      <c r="B15" s="23" t="s">
        <v>173</v>
      </c>
      <c r="C15" s="14"/>
      <c r="D15" s="14"/>
      <c r="E15" s="14" t="s">
        <v>74</v>
      </c>
      <c r="F15" s="97">
        <v>0</v>
      </c>
      <c r="G15" s="25"/>
      <c r="H15" s="29">
        <f t="shared" si="5"/>
        <v>16</v>
      </c>
      <c r="I15" s="197">
        <f t="shared" si="1"/>
        <v>49.39185396044768</v>
      </c>
      <c r="J15" s="198">
        <f t="shared" si="1"/>
        <v>88.86132764465822</v>
      </c>
      <c r="K15" s="198">
        <f t="shared" si="1"/>
        <v>128.33080132886874</v>
      </c>
      <c r="L15" s="198">
        <f t="shared" si="1"/>
        <v>167.80027501307924</v>
      </c>
      <c r="M15" s="198">
        <f t="shared" si="1"/>
        <v>207.2697486972898</v>
      </c>
      <c r="N15" s="198">
        <f t="shared" si="1"/>
        <v>246.73922238150033</v>
      </c>
      <c r="O15" s="198">
        <f t="shared" si="1"/>
        <v>286.20869606571085</v>
      </c>
      <c r="P15" s="198">
        <f t="shared" si="1"/>
        <v>325.67816974992144</v>
      </c>
      <c r="Q15" s="198">
        <f t="shared" si="1"/>
        <v>365.14764343413196</v>
      </c>
      <c r="R15" s="198">
        <f t="shared" si="1"/>
        <v>404.61711711834243</v>
      </c>
      <c r="S15" s="198">
        <f t="shared" si="1"/>
        <v>444.086590802553</v>
      </c>
      <c r="T15" s="199">
        <f t="shared" si="1"/>
        <v>483.5560644867635</v>
      </c>
      <c r="U15" s="28">
        <f t="shared" si="2"/>
        <v>16</v>
      </c>
      <c r="X15" s="168">
        <f>K5</f>
        <v>0.02</v>
      </c>
      <c r="Y15" s="30">
        <f>VLOOKUP(vermogen,K$6:U$22,11)</f>
        <v>22</v>
      </c>
    </row>
    <row r="16" spans="2:25" ht="12.75">
      <c r="B16" s="23" t="s">
        <v>17</v>
      </c>
      <c r="C16" s="14"/>
      <c r="D16" s="14"/>
      <c r="E16" s="14" t="s">
        <v>67</v>
      </c>
      <c r="F16" s="97">
        <v>1</v>
      </c>
      <c r="G16" s="14"/>
      <c r="H16" s="29">
        <f>+H15+Vdif*2</f>
        <v>18</v>
      </c>
      <c r="I16" s="197">
        <f aca="true" t="shared" si="6" ref="I16:T25">(Opp*Rho*(Gpers/75)^0.7*0.5*($H16/3.6)*(Vwind+$H16/3.6)^2+(Cr+I$5)*9.81*Gtot*$H16/3.6)/Cf</f>
        <v>62.06929864372541</v>
      </c>
      <c r="J16" s="198">
        <f t="shared" si="6"/>
        <v>106.47245653846227</v>
      </c>
      <c r="K16" s="198">
        <f t="shared" si="6"/>
        <v>150.8756144331991</v>
      </c>
      <c r="L16" s="198">
        <f t="shared" si="6"/>
        <v>195.27877232793597</v>
      </c>
      <c r="M16" s="198">
        <f t="shared" si="6"/>
        <v>239.6819302226728</v>
      </c>
      <c r="N16" s="198">
        <f t="shared" si="6"/>
        <v>284.0850881174096</v>
      </c>
      <c r="O16" s="198">
        <f t="shared" si="6"/>
        <v>328.4882460121465</v>
      </c>
      <c r="P16" s="198">
        <f t="shared" si="6"/>
        <v>372.89140390688334</v>
      </c>
      <c r="Q16" s="198">
        <f t="shared" si="6"/>
        <v>417.2945618016202</v>
      </c>
      <c r="R16" s="198">
        <f t="shared" si="6"/>
        <v>461.69771969635696</v>
      </c>
      <c r="S16" s="198">
        <f t="shared" si="6"/>
        <v>506.1008775910939</v>
      </c>
      <c r="T16" s="199">
        <f t="shared" si="6"/>
        <v>550.5040354858306</v>
      </c>
      <c r="U16" s="28">
        <f t="shared" si="2"/>
        <v>18</v>
      </c>
      <c r="X16" s="168">
        <f>L5</f>
        <v>0.03</v>
      </c>
      <c r="Y16" s="30">
        <f>VLOOKUP(vermogen,L$6:U$22,10)</f>
        <v>18</v>
      </c>
    </row>
    <row r="17" spans="2:25" ht="13.5" thickBot="1">
      <c r="B17" s="31" t="s">
        <v>115</v>
      </c>
      <c r="C17" s="32"/>
      <c r="D17" s="32"/>
      <c r="E17" s="32" t="s">
        <v>67</v>
      </c>
      <c r="F17" s="100">
        <v>99</v>
      </c>
      <c r="G17" s="14"/>
      <c r="H17" s="29">
        <f aca="true" t="shared" si="7" ref="H17:H25">+H16+Vdif*2</f>
        <v>20</v>
      </c>
      <c r="I17" s="197">
        <f t="shared" si="6"/>
        <v>77.04208318755201</v>
      </c>
      <c r="J17" s="198">
        <f t="shared" si="6"/>
        <v>126.37892529281517</v>
      </c>
      <c r="K17" s="198">
        <f t="shared" si="6"/>
        <v>175.7157673980783</v>
      </c>
      <c r="L17" s="198">
        <f t="shared" si="6"/>
        <v>225.0526095033415</v>
      </c>
      <c r="M17" s="198">
        <f t="shared" si="6"/>
        <v>274.38945160860465</v>
      </c>
      <c r="N17" s="198">
        <f t="shared" si="6"/>
        <v>323.7262937138678</v>
      </c>
      <c r="O17" s="198">
        <f t="shared" si="6"/>
        <v>373.063135819131</v>
      </c>
      <c r="P17" s="198">
        <f t="shared" si="6"/>
        <v>422.3999779243942</v>
      </c>
      <c r="Q17" s="198">
        <f t="shared" si="6"/>
        <v>471.73682002965734</v>
      </c>
      <c r="R17" s="198">
        <f t="shared" si="6"/>
        <v>521.0736621349204</v>
      </c>
      <c r="S17" s="198">
        <f t="shared" si="6"/>
        <v>570.4105042401835</v>
      </c>
      <c r="T17" s="199">
        <f t="shared" si="6"/>
        <v>619.7473463454467</v>
      </c>
      <c r="U17" s="28">
        <f t="shared" si="2"/>
        <v>20</v>
      </c>
      <c r="X17" s="168">
        <f>M5</f>
        <v>0.04</v>
      </c>
      <c r="Y17" s="30">
        <f>VLOOKUP(vermogen,M$6:U$22,9)</f>
        <v>16</v>
      </c>
    </row>
    <row r="18" spans="2:25" ht="13.5" thickBot="1">
      <c r="B18" s="14"/>
      <c r="C18" s="14"/>
      <c r="D18" s="14"/>
      <c r="E18" s="14"/>
      <c r="F18" s="14"/>
      <c r="G18" s="14"/>
      <c r="H18" s="29">
        <f t="shared" si="7"/>
        <v>22</v>
      </c>
      <c r="I18" s="197">
        <f t="shared" si="6"/>
        <v>94.56524535421066</v>
      </c>
      <c r="J18" s="198">
        <f t="shared" si="6"/>
        <v>148.83577167000018</v>
      </c>
      <c r="K18" s="198">
        <f t="shared" si="6"/>
        <v>203.1062979857896</v>
      </c>
      <c r="L18" s="198">
        <f t="shared" si="6"/>
        <v>257.3768243015791</v>
      </c>
      <c r="M18" s="198">
        <f t="shared" si="6"/>
        <v>311.64735061736855</v>
      </c>
      <c r="N18" s="198">
        <f t="shared" si="6"/>
        <v>365.9178769331581</v>
      </c>
      <c r="O18" s="198">
        <f t="shared" si="6"/>
        <v>420.1884032489475</v>
      </c>
      <c r="P18" s="198">
        <f t="shared" si="6"/>
        <v>474.4589295647371</v>
      </c>
      <c r="Q18" s="198">
        <f t="shared" si="6"/>
        <v>528.7294558805265</v>
      </c>
      <c r="R18" s="198">
        <f t="shared" si="6"/>
        <v>582.9999821963158</v>
      </c>
      <c r="S18" s="198">
        <f t="shared" si="6"/>
        <v>637.2705085121055</v>
      </c>
      <c r="T18" s="199">
        <f t="shared" si="6"/>
        <v>691.5410348278949</v>
      </c>
      <c r="U18" s="28">
        <f t="shared" si="2"/>
        <v>22</v>
      </c>
      <c r="X18" s="168">
        <f>N5</f>
        <v>0.05</v>
      </c>
      <c r="Y18" s="30">
        <f>VLOOKUP(vermogen,N$6:U$22,8)</f>
        <v>14</v>
      </c>
    </row>
    <row r="19" spans="2:25" ht="12.75">
      <c r="B19" s="124" t="s">
        <v>117</v>
      </c>
      <c r="C19" s="19"/>
      <c r="D19" s="19"/>
      <c r="E19" s="19"/>
      <c r="F19" s="20"/>
      <c r="G19" s="14"/>
      <c r="H19" s="29">
        <f t="shared" si="7"/>
        <v>24</v>
      </c>
      <c r="I19" s="197">
        <f t="shared" si="6"/>
        <v>114.89382290598458</v>
      </c>
      <c r="J19" s="198">
        <f t="shared" si="6"/>
        <v>174.0980334323004</v>
      </c>
      <c r="K19" s="198">
        <f t="shared" si="6"/>
        <v>233.30224395861617</v>
      </c>
      <c r="L19" s="198">
        <f t="shared" si="6"/>
        <v>292.50645448493196</v>
      </c>
      <c r="M19" s="198">
        <f t="shared" si="6"/>
        <v>351.7106650112477</v>
      </c>
      <c r="N19" s="198">
        <f t="shared" si="6"/>
        <v>410.91487553756355</v>
      </c>
      <c r="O19" s="198">
        <f t="shared" si="6"/>
        <v>470.1190860638794</v>
      </c>
      <c r="P19" s="198">
        <f t="shared" si="6"/>
        <v>529.3232965901952</v>
      </c>
      <c r="Q19" s="198">
        <f t="shared" si="6"/>
        <v>588.5275071165111</v>
      </c>
      <c r="R19" s="198">
        <f t="shared" si="6"/>
        <v>647.7317176428268</v>
      </c>
      <c r="S19" s="198">
        <f t="shared" si="6"/>
        <v>706.9359281691426</v>
      </c>
      <c r="T19" s="199">
        <f t="shared" si="6"/>
        <v>766.1401386954583</v>
      </c>
      <c r="U19" s="28">
        <f t="shared" si="2"/>
        <v>24</v>
      </c>
      <c r="X19" s="168">
        <f>O5</f>
        <v>0.060000000000000005</v>
      </c>
      <c r="Y19" s="30">
        <f>VLOOKUP(vermogen,O$6:U$22,7)</f>
        <v>12</v>
      </c>
    </row>
    <row r="20" spans="2:25" ht="12.75">
      <c r="B20" s="23" t="s">
        <v>134</v>
      </c>
      <c r="C20" s="14"/>
      <c r="D20" s="14"/>
      <c r="E20" s="25"/>
      <c r="F20" s="98">
        <f>F12*3.6/F5</f>
        <v>10.445848677761422</v>
      </c>
      <c r="G20" s="14"/>
      <c r="H20" s="29">
        <f t="shared" si="7"/>
        <v>26</v>
      </c>
      <c r="I20" s="197">
        <f t="shared" si="6"/>
        <v>138.28285360515704</v>
      </c>
      <c r="J20" s="198">
        <f t="shared" si="6"/>
        <v>202.42074834199914</v>
      </c>
      <c r="K20" s="198">
        <f t="shared" si="6"/>
        <v>266.55864307884127</v>
      </c>
      <c r="L20" s="198">
        <f t="shared" si="6"/>
        <v>330.69653781568337</v>
      </c>
      <c r="M20" s="198">
        <f t="shared" si="6"/>
        <v>394.83443255252547</v>
      </c>
      <c r="N20" s="198">
        <f t="shared" si="6"/>
        <v>458.9723272893676</v>
      </c>
      <c r="O20" s="198">
        <f t="shared" si="6"/>
        <v>523.1102220262097</v>
      </c>
      <c r="P20" s="198">
        <f t="shared" si="6"/>
        <v>587.2481167630519</v>
      </c>
      <c r="Q20" s="198">
        <f t="shared" si="6"/>
        <v>651.386011499894</v>
      </c>
      <c r="R20" s="198">
        <f t="shared" si="6"/>
        <v>715.523906236736</v>
      </c>
      <c r="S20" s="198">
        <f t="shared" si="6"/>
        <v>779.6618009735784</v>
      </c>
      <c r="T20" s="199">
        <f t="shared" si="6"/>
        <v>843.7996957104202</v>
      </c>
      <c r="U20" s="28">
        <f t="shared" si="2"/>
        <v>26</v>
      </c>
      <c r="X20" s="168">
        <f>P5</f>
        <v>0.07</v>
      </c>
      <c r="Y20" s="30">
        <f>VLOOKUP(vermogen,P$6:U$22,6)</f>
        <v>10</v>
      </c>
    </row>
    <row r="21" spans="2:25" ht="12.75">
      <c r="B21" s="23" t="s">
        <v>133</v>
      </c>
      <c r="C21" s="14"/>
      <c r="D21" s="14"/>
      <c r="E21" s="25"/>
      <c r="F21" s="98">
        <f>10+0.7*Vmax+0.022*Vmax^2</f>
        <v>52.842</v>
      </c>
      <c r="G21" s="14"/>
      <c r="H21" s="29">
        <f t="shared" si="7"/>
        <v>28</v>
      </c>
      <c r="I21" s="197">
        <f t="shared" si="6"/>
        <v>164.98737521401114</v>
      </c>
      <c r="J21" s="198">
        <f t="shared" si="6"/>
        <v>234.05895416137957</v>
      </c>
      <c r="K21" s="198">
        <f t="shared" si="6"/>
        <v>303.13053310874795</v>
      </c>
      <c r="L21" s="198">
        <f t="shared" si="6"/>
        <v>372.2021120561164</v>
      </c>
      <c r="M21" s="198">
        <f t="shared" si="6"/>
        <v>441.2736910034849</v>
      </c>
      <c r="N21" s="198">
        <f t="shared" si="6"/>
        <v>510.3452699508533</v>
      </c>
      <c r="O21" s="198">
        <f t="shared" si="6"/>
        <v>579.4168488982217</v>
      </c>
      <c r="P21" s="198">
        <f t="shared" si="6"/>
        <v>648.4884278455903</v>
      </c>
      <c r="Q21" s="198">
        <f t="shared" si="6"/>
        <v>717.5600067929587</v>
      </c>
      <c r="R21" s="198">
        <f t="shared" si="6"/>
        <v>786.6315857403268</v>
      </c>
      <c r="S21" s="198">
        <f t="shared" si="6"/>
        <v>855.7031646876954</v>
      </c>
      <c r="T21" s="199">
        <f t="shared" si="6"/>
        <v>924.7747436350637</v>
      </c>
      <c r="U21" s="28">
        <f t="shared" si="2"/>
        <v>28</v>
      </c>
      <c r="X21" s="168">
        <f>Q5</f>
        <v>0.08</v>
      </c>
      <c r="Y21" s="30">
        <f>VLOOKUP(vermogen,Q$6:U$22,5)</f>
        <v>9</v>
      </c>
    </row>
    <row r="22" spans="2:25" ht="13.5" thickBot="1">
      <c r="B22" s="31"/>
      <c r="C22" s="32" t="s">
        <v>132</v>
      </c>
      <c r="D22" s="32"/>
      <c r="E22" s="145"/>
      <c r="F22" s="130">
        <f>+F20/F21</f>
        <v>0.1976807970508577</v>
      </c>
      <c r="G22" s="14"/>
      <c r="H22" s="29">
        <f t="shared" si="7"/>
        <v>30</v>
      </c>
      <c r="I22" s="197">
        <f t="shared" si="6"/>
        <v>195.26242549483018</v>
      </c>
      <c r="J22" s="198">
        <f t="shared" si="6"/>
        <v>269.2676886527249</v>
      </c>
      <c r="K22" s="198">
        <f t="shared" si="6"/>
        <v>343.2729518106197</v>
      </c>
      <c r="L22" s="198">
        <f t="shared" si="6"/>
        <v>417.2782149685144</v>
      </c>
      <c r="M22" s="198">
        <f t="shared" si="6"/>
        <v>491.28347812640914</v>
      </c>
      <c r="N22" s="198">
        <f t="shared" si="6"/>
        <v>565.2887412843039</v>
      </c>
      <c r="O22" s="198">
        <f t="shared" si="6"/>
        <v>639.2940044421987</v>
      </c>
      <c r="P22" s="198">
        <f t="shared" si="6"/>
        <v>713.2992676000935</v>
      </c>
      <c r="Q22" s="198">
        <f t="shared" si="6"/>
        <v>787.3045307579883</v>
      </c>
      <c r="R22" s="198">
        <f t="shared" si="6"/>
        <v>861.3097939158829</v>
      </c>
      <c r="S22" s="198">
        <f t="shared" si="6"/>
        <v>935.3150570737777</v>
      </c>
      <c r="T22" s="199">
        <f t="shared" si="6"/>
        <v>1009.3203202316722</v>
      </c>
      <c r="U22" s="28">
        <f t="shared" si="2"/>
        <v>30</v>
      </c>
      <c r="X22" s="168">
        <f>R5</f>
        <v>0.09</v>
      </c>
      <c r="Y22" s="30">
        <f>VLOOKUP(vermogen,R$6:U$22,4)</f>
        <v>8</v>
      </c>
    </row>
    <row r="23" spans="1:25" ht="12.75">
      <c r="A23" s="25"/>
      <c r="B23" s="25"/>
      <c r="C23" s="25"/>
      <c r="D23" s="25"/>
      <c r="E23" s="25"/>
      <c r="F23" s="25"/>
      <c r="G23" s="14"/>
      <c r="H23" s="29">
        <f t="shared" si="7"/>
        <v>32</v>
      </c>
      <c r="I23" s="197">
        <f t="shared" si="6"/>
        <v>229.36304220989726</v>
      </c>
      <c r="J23" s="198">
        <f t="shared" si="6"/>
        <v>308.3019895783183</v>
      </c>
      <c r="K23" s="198">
        <f t="shared" si="6"/>
        <v>387.2409369467394</v>
      </c>
      <c r="L23" s="198">
        <f t="shared" si="6"/>
        <v>466.1798843151604</v>
      </c>
      <c r="M23" s="198">
        <f t="shared" si="6"/>
        <v>545.1188316835816</v>
      </c>
      <c r="N23" s="198">
        <f t="shared" si="6"/>
        <v>624.0577790520025</v>
      </c>
      <c r="O23" s="198">
        <f t="shared" si="6"/>
        <v>702.9967264204236</v>
      </c>
      <c r="P23" s="198">
        <f t="shared" si="6"/>
        <v>781.9356737888448</v>
      </c>
      <c r="Q23" s="198">
        <f t="shared" si="6"/>
        <v>860.8746211572658</v>
      </c>
      <c r="R23" s="198">
        <f t="shared" si="6"/>
        <v>939.8135685256868</v>
      </c>
      <c r="S23" s="198">
        <f t="shared" si="6"/>
        <v>1018.7525158941079</v>
      </c>
      <c r="T23" s="199">
        <f t="shared" si="6"/>
        <v>1097.691463262529</v>
      </c>
      <c r="U23" s="28">
        <f t="shared" si="2"/>
        <v>32</v>
      </c>
      <c r="X23" s="168">
        <f>S5</f>
        <v>0.09999999999999999</v>
      </c>
      <c r="Y23" s="30">
        <f>VLOOKUP(vermogen,S$6:U$22,3)</f>
        <v>7</v>
      </c>
    </row>
    <row r="24" spans="1:25" ht="13.5" thickBot="1">
      <c r="A24" s="25"/>
      <c r="B24" s="25"/>
      <c r="C24" s="25"/>
      <c r="D24" s="25"/>
      <c r="E24" s="25"/>
      <c r="F24" s="144"/>
      <c r="G24" s="14"/>
      <c r="H24" s="29">
        <f t="shared" si="7"/>
        <v>34</v>
      </c>
      <c r="I24" s="197">
        <f t="shared" si="6"/>
        <v>267.54426312149565</v>
      </c>
      <c r="J24" s="198">
        <f t="shared" si="6"/>
        <v>351.41689470044304</v>
      </c>
      <c r="K24" s="198">
        <f t="shared" si="6"/>
        <v>435.28952627939043</v>
      </c>
      <c r="L24" s="198">
        <f t="shared" si="6"/>
        <v>519.1621578583378</v>
      </c>
      <c r="M24" s="198">
        <f t="shared" si="6"/>
        <v>603.0347894372851</v>
      </c>
      <c r="N24" s="198">
        <f t="shared" si="6"/>
        <v>686.9074210162325</v>
      </c>
      <c r="O24" s="198">
        <f t="shared" si="6"/>
        <v>770.7800525951799</v>
      </c>
      <c r="P24" s="198">
        <f t="shared" si="6"/>
        <v>854.6526841741273</v>
      </c>
      <c r="Q24" s="198">
        <f t="shared" si="6"/>
        <v>938.5253157530748</v>
      </c>
      <c r="R24" s="198">
        <f t="shared" si="6"/>
        <v>1022.397947332022</v>
      </c>
      <c r="S24" s="198">
        <f t="shared" si="6"/>
        <v>1106.2705789109696</v>
      </c>
      <c r="T24" s="199">
        <f t="shared" si="6"/>
        <v>1190.1432104899168</v>
      </c>
      <c r="U24" s="28">
        <f t="shared" si="2"/>
        <v>34</v>
      </c>
      <c r="X24" s="169">
        <f>T5</f>
        <v>0.10999999999999999</v>
      </c>
      <c r="Y24" s="33">
        <f>VLOOKUP(vermogen,T$6:U$22,2)</f>
        <v>7</v>
      </c>
    </row>
    <row r="25" spans="2:21" ht="13.5" thickBot="1">
      <c r="B25" s="25"/>
      <c r="E25" s="25"/>
      <c r="F25" s="143"/>
      <c r="G25" s="14"/>
      <c r="H25" s="38">
        <f t="shared" si="7"/>
        <v>36</v>
      </c>
      <c r="I25" s="200">
        <f t="shared" si="6"/>
        <v>310.0611259919085</v>
      </c>
      <c r="J25" s="201">
        <f t="shared" si="6"/>
        <v>398.8674417813823</v>
      </c>
      <c r="K25" s="201">
        <f t="shared" si="6"/>
        <v>487.6737575708559</v>
      </c>
      <c r="L25" s="201">
        <f t="shared" si="6"/>
        <v>576.4800733603297</v>
      </c>
      <c r="M25" s="201">
        <f t="shared" si="6"/>
        <v>665.2863891498033</v>
      </c>
      <c r="N25" s="201">
        <f t="shared" si="6"/>
        <v>754.092704939277</v>
      </c>
      <c r="O25" s="201">
        <f t="shared" si="6"/>
        <v>842.8990207287507</v>
      </c>
      <c r="P25" s="201">
        <f t="shared" si="6"/>
        <v>931.7053365182245</v>
      </c>
      <c r="Q25" s="201">
        <f t="shared" si="6"/>
        <v>1020.5116523076981</v>
      </c>
      <c r="R25" s="201">
        <f t="shared" si="6"/>
        <v>1109.3179680971716</v>
      </c>
      <c r="S25" s="201">
        <f t="shared" si="6"/>
        <v>1198.1242838866456</v>
      </c>
      <c r="T25" s="202">
        <f t="shared" si="6"/>
        <v>1286.930599676119</v>
      </c>
      <c r="U25" s="28">
        <f t="shared" si="2"/>
        <v>36</v>
      </c>
    </row>
    <row r="26" spans="5:20" ht="13.5" thickBot="1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2:23" ht="12.75">
      <c r="B27" s="34" t="s">
        <v>79</v>
      </c>
      <c r="C27" s="19"/>
      <c r="D27" s="20"/>
      <c r="E27" s="14"/>
      <c r="F27" s="14"/>
      <c r="G27" s="14"/>
      <c r="H27" s="42" t="s">
        <v>37</v>
      </c>
      <c r="I27" s="19" t="s">
        <v>24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V27" s="159">
        <f>Fmin</f>
        <v>70</v>
      </c>
      <c r="W27" s="83" t="s">
        <v>114</v>
      </c>
    </row>
    <row r="28" spans="2:22" ht="13.5" thickBot="1">
      <c r="B28" s="35"/>
      <c r="C28" s="36" t="s">
        <v>70</v>
      </c>
      <c r="D28" s="37"/>
      <c r="E28" s="14"/>
      <c r="F28" s="14"/>
      <c r="G28" s="14"/>
      <c r="H28" s="101" t="s">
        <v>81</v>
      </c>
      <c r="I28" s="43">
        <f>B30</f>
        <v>30</v>
      </c>
      <c r="J28" s="27"/>
      <c r="K28" s="44"/>
      <c r="L28" s="45"/>
      <c r="M28" s="43">
        <f>B31</f>
        <v>39</v>
      </c>
      <c r="N28" s="44" t="s">
        <v>23</v>
      </c>
      <c r="O28" s="44"/>
      <c r="P28" s="45"/>
      <c r="Q28" s="44">
        <f>B32</f>
        <v>50</v>
      </c>
      <c r="R28" s="44"/>
      <c r="S28" s="44"/>
      <c r="T28" s="46"/>
      <c r="V28" s="122" t="s">
        <v>108</v>
      </c>
    </row>
    <row r="29" spans="2:26" ht="12.75">
      <c r="B29" s="39" t="s">
        <v>71</v>
      </c>
      <c r="C29" s="40" t="s">
        <v>80</v>
      </c>
      <c r="D29" s="41" t="s">
        <v>81</v>
      </c>
      <c r="E29" s="14"/>
      <c r="F29" s="14"/>
      <c r="G29" s="14"/>
      <c r="H29" s="47" t="s">
        <v>22</v>
      </c>
      <c r="I29" s="48">
        <f>HLOOKUP($H$28,$C$29:$D$39,2,FALSE)</f>
        <v>29</v>
      </c>
      <c r="J29" s="49">
        <f>HLOOKUP($H$28,$C$29:$D$39,3,FALSE)</f>
        <v>25</v>
      </c>
      <c r="K29" s="49">
        <f>HLOOKUP($H$28,$C$29:$D$39,4,FALSE)</f>
        <v>23</v>
      </c>
      <c r="L29" s="50">
        <f>HLOOKUP($H$28,$C$29:$D$39,5,FALSE)</f>
        <v>21</v>
      </c>
      <c r="M29" s="51">
        <f>HLOOKUP($H$28,$C$29:$D$39,3,FALSE)</f>
        <v>25</v>
      </c>
      <c r="N29" s="52">
        <f>HLOOKUP($H$28,$C$29:$D$39,4,FALSE)</f>
        <v>23</v>
      </c>
      <c r="O29" s="52">
        <f>HLOOKUP($H$28,$C$29:$D$39,5,FALSE)</f>
        <v>21</v>
      </c>
      <c r="P29" s="53">
        <f>HLOOKUP($H$28,$C$29:$D$39,6,FALSE)</f>
        <v>19</v>
      </c>
      <c r="Q29" s="52">
        <f>HLOOKUP($H$28,$C$29:$D$39,5,FALSE)</f>
        <v>21</v>
      </c>
      <c r="R29" s="52">
        <f>HLOOKUP($H$28,$C$29:$D$39,6,FALSE)</f>
        <v>19</v>
      </c>
      <c r="S29" s="52">
        <f>HLOOKUP($H$28,$C$29:$D$39,7,FALSE)</f>
        <v>17</v>
      </c>
      <c r="T29" s="54">
        <f>HLOOKUP($H$28,$C$29:$D$39,8,FALSE)</f>
        <v>16</v>
      </c>
      <c r="V29" s="106">
        <f>Fmin*Z29*60/1000</f>
        <v>9.124137931034484</v>
      </c>
      <c r="W29" s="109">
        <f>I28</f>
        <v>30</v>
      </c>
      <c r="X29" s="109">
        <f>I29</f>
        <v>29</v>
      </c>
      <c r="Y29" s="116" t="str">
        <f>W29&amp;"/"&amp;X29</f>
        <v>30/29</v>
      </c>
      <c r="Z29" s="117">
        <f>W29/X29*Omtrek/100</f>
        <v>2.1724137931034484</v>
      </c>
    </row>
    <row r="30" spans="2:26" ht="12.75">
      <c r="B30" s="84">
        <v>30</v>
      </c>
      <c r="C30" s="85">
        <v>32</v>
      </c>
      <c r="D30" s="86">
        <v>29</v>
      </c>
      <c r="E30" s="14"/>
      <c r="F30" s="14"/>
      <c r="G30" s="14"/>
      <c r="H30" s="56">
        <f aca="true" t="shared" si="8" ref="H30:H49">H6</f>
        <v>7</v>
      </c>
      <c r="I30" s="57">
        <f aca="true" t="shared" si="9" ref="I30:T39">$H30*1000/60/I$52</f>
        <v>53.7037037037037</v>
      </c>
      <c r="J30" s="58">
        <f t="shared" si="9"/>
        <v>46.2962962962963</v>
      </c>
      <c r="K30" s="58">
        <f t="shared" si="9"/>
        <v>42.59259259259259</v>
      </c>
      <c r="L30" s="59">
        <f t="shared" si="9"/>
        <v>38.88888888888889</v>
      </c>
      <c r="M30" s="57">
        <f t="shared" si="9"/>
        <v>35.61253561253561</v>
      </c>
      <c r="N30" s="58">
        <f t="shared" si="9"/>
        <v>32.763532763532766</v>
      </c>
      <c r="O30" s="58">
        <f t="shared" si="9"/>
        <v>29.91452991452991</v>
      </c>
      <c r="P30" s="60">
        <f t="shared" si="9"/>
        <v>27.065527065527064</v>
      </c>
      <c r="Q30" s="58">
        <f t="shared" si="9"/>
        <v>23.333333333333336</v>
      </c>
      <c r="R30" s="58">
        <f t="shared" si="9"/>
        <v>21.111111111111114</v>
      </c>
      <c r="S30" s="58">
        <f t="shared" si="9"/>
        <v>18.88888888888889</v>
      </c>
      <c r="T30" s="61">
        <f t="shared" si="9"/>
        <v>17.77777777777778</v>
      </c>
      <c r="V30" s="107">
        <f aca="true" t="shared" si="10" ref="V30:V40">Fmin*Z30*60/1000</f>
        <v>10.584</v>
      </c>
      <c r="W30" s="110">
        <f>I28</f>
        <v>30</v>
      </c>
      <c r="X30" s="110">
        <f>J29</f>
        <v>25</v>
      </c>
      <c r="Y30" s="115" t="str">
        <f aca="true" t="shared" si="11" ref="Y30:Y40">W30&amp;"/"&amp;X30</f>
        <v>30/25</v>
      </c>
      <c r="Z30" s="118">
        <f aca="true" t="shared" si="12" ref="Z30:Z40">W30/X30*Omtrek/100</f>
        <v>2.52</v>
      </c>
    </row>
    <row r="31" spans="2:26" ht="12.75">
      <c r="B31" s="87">
        <v>39</v>
      </c>
      <c r="C31" s="88">
        <v>27</v>
      </c>
      <c r="D31" s="86">
        <v>25</v>
      </c>
      <c r="E31" s="14"/>
      <c r="F31" s="14"/>
      <c r="G31" s="14"/>
      <c r="H31" s="56">
        <f t="shared" si="8"/>
        <v>8</v>
      </c>
      <c r="I31" s="62">
        <f t="shared" si="9"/>
        <v>61.37566137566137</v>
      </c>
      <c r="J31" s="59">
        <f t="shared" si="9"/>
        <v>52.91005291005291</v>
      </c>
      <c r="K31" s="59">
        <f t="shared" si="9"/>
        <v>48.67724867724868</v>
      </c>
      <c r="L31" s="59">
        <f t="shared" si="9"/>
        <v>44.44444444444445</v>
      </c>
      <c r="M31" s="62">
        <f t="shared" si="9"/>
        <v>40.7000407000407</v>
      </c>
      <c r="N31" s="59">
        <f t="shared" si="9"/>
        <v>37.44403744403745</v>
      </c>
      <c r="O31" s="59">
        <f t="shared" si="9"/>
        <v>34.18803418803419</v>
      </c>
      <c r="P31" s="63">
        <f t="shared" si="9"/>
        <v>30.932030932030933</v>
      </c>
      <c r="Q31" s="59">
        <f t="shared" si="9"/>
        <v>26.666666666666668</v>
      </c>
      <c r="R31" s="59">
        <f t="shared" si="9"/>
        <v>24.12698412698413</v>
      </c>
      <c r="S31" s="59">
        <f t="shared" si="9"/>
        <v>21.58730158730159</v>
      </c>
      <c r="T31" s="64">
        <f t="shared" si="9"/>
        <v>20.31746031746032</v>
      </c>
      <c r="V31" s="107">
        <f t="shared" si="10"/>
        <v>11.504347826086958</v>
      </c>
      <c r="W31" s="110">
        <f>I28</f>
        <v>30</v>
      </c>
      <c r="X31" s="110">
        <f>K29</f>
        <v>23</v>
      </c>
      <c r="Y31" s="115" t="str">
        <f t="shared" si="11"/>
        <v>30/23</v>
      </c>
      <c r="Z31" s="118">
        <f t="shared" si="12"/>
        <v>2.739130434782609</v>
      </c>
    </row>
    <row r="32" spans="2:26" ht="12.75">
      <c r="B32" s="90">
        <v>50</v>
      </c>
      <c r="C32" s="88">
        <v>23</v>
      </c>
      <c r="D32" s="89">
        <v>23</v>
      </c>
      <c r="E32" s="14"/>
      <c r="F32" s="14"/>
      <c r="G32" s="14"/>
      <c r="H32" s="56">
        <f t="shared" si="8"/>
        <v>9</v>
      </c>
      <c r="I32" s="62">
        <f t="shared" si="9"/>
        <v>69.04761904761904</v>
      </c>
      <c r="J32" s="59">
        <f t="shared" si="9"/>
        <v>59.523809523809526</v>
      </c>
      <c r="K32" s="59">
        <f t="shared" si="9"/>
        <v>54.76190476190476</v>
      </c>
      <c r="L32" s="59">
        <f t="shared" si="9"/>
        <v>50</v>
      </c>
      <c r="M32" s="62">
        <f t="shared" si="9"/>
        <v>45.78754578754578</v>
      </c>
      <c r="N32" s="59">
        <f t="shared" si="9"/>
        <v>42.124542124542124</v>
      </c>
      <c r="O32" s="59">
        <f t="shared" si="9"/>
        <v>38.46153846153846</v>
      </c>
      <c r="P32" s="63">
        <f t="shared" si="9"/>
        <v>34.798534798534796</v>
      </c>
      <c r="Q32" s="59">
        <f t="shared" si="9"/>
        <v>30</v>
      </c>
      <c r="R32" s="59">
        <f t="shared" si="9"/>
        <v>27.142857142857142</v>
      </c>
      <c r="S32" s="59">
        <f t="shared" si="9"/>
        <v>24.285714285714285</v>
      </c>
      <c r="T32" s="64">
        <f t="shared" si="9"/>
        <v>22.857142857142858</v>
      </c>
      <c r="V32" s="107">
        <f t="shared" si="10"/>
        <v>12.6</v>
      </c>
      <c r="W32" s="110">
        <f>I28</f>
        <v>30</v>
      </c>
      <c r="X32" s="111">
        <f>L29</f>
        <v>21</v>
      </c>
      <c r="Y32" s="115" t="str">
        <f t="shared" si="11"/>
        <v>30/21</v>
      </c>
      <c r="Z32" s="118">
        <f t="shared" si="12"/>
        <v>3</v>
      </c>
    </row>
    <row r="33" spans="2:26" ht="12.75">
      <c r="B33" s="55"/>
      <c r="C33" s="88">
        <v>21</v>
      </c>
      <c r="D33" s="89">
        <v>21</v>
      </c>
      <c r="E33" s="14"/>
      <c r="F33" s="14"/>
      <c r="G33" s="14"/>
      <c r="H33" s="56">
        <f t="shared" si="8"/>
        <v>10</v>
      </c>
      <c r="I33" s="62">
        <f t="shared" si="9"/>
        <v>76.71957671957671</v>
      </c>
      <c r="J33" s="59">
        <f t="shared" si="9"/>
        <v>66.13756613756614</v>
      </c>
      <c r="K33" s="59">
        <f t="shared" si="9"/>
        <v>60.84656084656084</v>
      </c>
      <c r="L33" s="59">
        <f t="shared" si="9"/>
        <v>55.55555555555555</v>
      </c>
      <c r="M33" s="62">
        <f t="shared" si="9"/>
        <v>50.87505087505087</v>
      </c>
      <c r="N33" s="59">
        <f t="shared" si="9"/>
        <v>46.8050468050468</v>
      </c>
      <c r="O33" s="59">
        <f t="shared" si="9"/>
        <v>42.735042735042725</v>
      </c>
      <c r="P33" s="63">
        <f t="shared" si="9"/>
        <v>38.66503866503866</v>
      </c>
      <c r="Q33" s="59">
        <f t="shared" si="9"/>
        <v>33.33333333333333</v>
      </c>
      <c r="R33" s="59">
        <f t="shared" si="9"/>
        <v>30.158730158730158</v>
      </c>
      <c r="S33" s="59">
        <f t="shared" si="9"/>
        <v>26.98412698412698</v>
      </c>
      <c r="T33" s="64">
        <f t="shared" si="9"/>
        <v>25.396825396825395</v>
      </c>
      <c r="V33" s="107">
        <f t="shared" si="10"/>
        <v>13.7592</v>
      </c>
      <c r="W33" s="110">
        <f>M28</f>
        <v>39</v>
      </c>
      <c r="X33" s="111">
        <f>M29</f>
        <v>25</v>
      </c>
      <c r="Y33" s="115" t="str">
        <f t="shared" si="11"/>
        <v>39/25</v>
      </c>
      <c r="Z33" s="118">
        <f t="shared" si="12"/>
        <v>3.2760000000000002</v>
      </c>
    </row>
    <row r="34" spans="2:26" ht="12.75">
      <c r="B34" s="55"/>
      <c r="C34" s="88">
        <v>19</v>
      </c>
      <c r="D34" s="89">
        <v>19</v>
      </c>
      <c r="E34" s="14"/>
      <c r="F34" s="14"/>
      <c r="G34" s="14"/>
      <c r="H34" s="56">
        <f t="shared" si="8"/>
        <v>11</v>
      </c>
      <c r="I34" s="62">
        <f t="shared" si="9"/>
        <v>84.39153439153439</v>
      </c>
      <c r="J34" s="59">
        <f t="shared" si="9"/>
        <v>72.75132275132276</v>
      </c>
      <c r="K34" s="59">
        <f t="shared" si="9"/>
        <v>66.93121693121694</v>
      </c>
      <c r="L34" s="59">
        <f t="shared" si="9"/>
        <v>61.111111111111114</v>
      </c>
      <c r="M34" s="62">
        <f t="shared" si="9"/>
        <v>55.96255596255596</v>
      </c>
      <c r="N34" s="59">
        <f t="shared" si="9"/>
        <v>51.48555148555149</v>
      </c>
      <c r="O34" s="59">
        <f t="shared" si="9"/>
        <v>47.008547008547005</v>
      </c>
      <c r="P34" s="63">
        <f t="shared" si="9"/>
        <v>42.53154253154253</v>
      </c>
      <c r="Q34" s="59">
        <f t="shared" si="9"/>
        <v>36.66666666666667</v>
      </c>
      <c r="R34" s="59">
        <f t="shared" si="9"/>
        <v>33.17460317460318</v>
      </c>
      <c r="S34" s="59">
        <f t="shared" si="9"/>
        <v>29.682539682539684</v>
      </c>
      <c r="T34" s="64">
        <f t="shared" si="9"/>
        <v>27.936507936507937</v>
      </c>
      <c r="V34" s="107">
        <f t="shared" si="10"/>
        <v>14.955652173913045</v>
      </c>
      <c r="W34" s="110">
        <f>M28</f>
        <v>39</v>
      </c>
      <c r="X34" s="111">
        <f>N29</f>
        <v>23</v>
      </c>
      <c r="Y34" s="115" t="str">
        <f t="shared" si="11"/>
        <v>39/23</v>
      </c>
      <c r="Z34" s="118">
        <f t="shared" si="12"/>
        <v>3.5608695652173914</v>
      </c>
    </row>
    <row r="35" spans="2:26" ht="12.75">
      <c r="B35" s="55"/>
      <c r="C35" s="88">
        <v>17</v>
      </c>
      <c r="D35" s="89">
        <v>17</v>
      </c>
      <c r="E35" s="14"/>
      <c r="F35" s="14"/>
      <c r="G35" s="14"/>
      <c r="H35" s="56">
        <f t="shared" si="8"/>
        <v>12</v>
      </c>
      <c r="I35" s="62">
        <f t="shared" si="9"/>
        <v>92.06349206349206</v>
      </c>
      <c r="J35" s="59">
        <f t="shared" si="9"/>
        <v>79.36507936507937</v>
      </c>
      <c r="K35" s="59">
        <f t="shared" si="9"/>
        <v>73.01587301587301</v>
      </c>
      <c r="L35" s="59">
        <f t="shared" si="9"/>
        <v>66.66666666666667</v>
      </c>
      <c r="M35" s="62">
        <f t="shared" si="9"/>
        <v>61.050061050061046</v>
      </c>
      <c r="N35" s="59">
        <f t="shared" si="9"/>
        <v>56.166056166056165</v>
      </c>
      <c r="O35" s="59">
        <f t="shared" si="9"/>
        <v>51.28205128205128</v>
      </c>
      <c r="P35" s="63">
        <f t="shared" si="9"/>
        <v>46.3980463980464</v>
      </c>
      <c r="Q35" s="59">
        <f t="shared" si="9"/>
        <v>40</v>
      </c>
      <c r="R35" s="59">
        <f t="shared" si="9"/>
        <v>36.19047619047619</v>
      </c>
      <c r="S35" s="59">
        <f t="shared" si="9"/>
        <v>32.38095238095238</v>
      </c>
      <c r="T35" s="64">
        <f t="shared" si="9"/>
        <v>30.476190476190474</v>
      </c>
      <c r="V35" s="107">
        <f t="shared" si="10"/>
        <v>16.38</v>
      </c>
      <c r="W35" s="110">
        <f>M28</f>
        <v>39</v>
      </c>
      <c r="X35" s="111">
        <f>O29</f>
        <v>21</v>
      </c>
      <c r="Y35" s="115" t="str">
        <f t="shared" si="11"/>
        <v>39/21</v>
      </c>
      <c r="Z35" s="118">
        <f t="shared" si="12"/>
        <v>3.9</v>
      </c>
    </row>
    <row r="36" spans="2:26" ht="12.75">
      <c r="B36" s="55"/>
      <c r="C36" s="88">
        <v>16</v>
      </c>
      <c r="D36" s="89">
        <v>16</v>
      </c>
      <c r="E36" s="14"/>
      <c r="F36" s="14"/>
      <c r="G36" s="14"/>
      <c r="H36" s="56">
        <f t="shared" si="8"/>
        <v>13</v>
      </c>
      <c r="I36" s="62">
        <f t="shared" si="9"/>
        <v>99.73544973544972</v>
      </c>
      <c r="J36" s="59">
        <f t="shared" si="9"/>
        <v>85.97883597883597</v>
      </c>
      <c r="K36" s="59">
        <f t="shared" si="9"/>
        <v>79.10052910052909</v>
      </c>
      <c r="L36" s="59">
        <f t="shared" si="9"/>
        <v>72.22222222222221</v>
      </c>
      <c r="M36" s="62">
        <f t="shared" si="9"/>
        <v>66.13756613756613</v>
      </c>
      <c r="N36" s="59">
        <f t="shared" si="9"/>
        <v>60.84656084656084</v>
      </c>
      <c r="O36" s="59">
        <f t="shared" si="9"/>
        <v>55.55555555555555</v>
      </c>
      <c r="P36" s="63">
        <f t="shared" si="9"/>
        <v>50.26455026455026</v>
      </c>
      <c r="Q36" s="59">
        <f t="shared" si="9"/>
        <v>43.33333333333333</v>
      </c>
      <c r="R36" s="59">
        <f t="shared" si="9"/>
        <v>39.20634920634921</v>
      </c>
      <c r="S36" s="59">
        <f t="shared" si="9"/>
        <v>35.079365079365076</v>
      </c>
      <c r="T36" s="64">
        <f t="shared" si="9"/>
        <v>33.01587301587301</v>
      </c>
      <c r="V36" s="107">
        <f t="shared" si="10"/>
        <v>18.10421052631579</v>
      </c>
      <c r="W36" s="110">
        <f>M28</f>
        <v>39</v>
      </c>
      <c r="X36" s="111">
        <f>P29</f>
        <v>19</v>
      </c>
      <c r="Y36" s="115" t="str">
        <f t="shared" si="11"/>
        <v>39/19</v>
      </c>
      <c r="Z36" s="118">
        <f t="shared" si="12"/>
        <v>4.310526315789474</v>
      </c>
    </row>
    <row r="37" spans="2:26" ht="12.75">
      <c r="B37" s="55"/>
      <c r="C37" s="88">
        <v>15</v>
      </c>
      <c r="D37" s="89">
        <v>15</v>
      </c>
      <c r="E37" s="14"/>
      <c r="F37" s="14"/>
      <c r="H37" s="56">
        <f t="shared" si="8"/>
        <v>14</v>
      </c>
      <c r="I37" s="62">
        <f t="shared" si="9"/>
        <v>107.4074074074074</v>
      </c>
      <c r="J37" s="59">
        <f t="shared" si="9"/>
        <v>92.5925925925926</v>
      </c>
      <c r="K37" s="59">
        <f t="shared" si="9"/>
        <v>85.18518518518518</v>
      </c>
      <c r="L37" s="59">
        <f t="shared" si="9"/>
        <v>77.77777777777779</v>
      </c>
      <c r="M37" s="62">
        <f t="shared" si="9"/>
        <v>71.22507122507122</v>
      </c>
      <c r="N37" s="59">
        <f t="shared" si="9"/>
        <v>65.52706552706553</v>
      </c>
      <c r="O37" s="59">
        <f t="shared" si="9"/>
        <v>59.82905982905982</v>
      </c>
      <c r="P37" s="63">
        <f t="shared" si="9"/>
        <v>54.13105413105413</v>
      </c>
      <c r="Q37" s="59">
        <f t="shared" si="9"/>
        <v>46.66666666666667</v>
      </c>
      <c r="R37" s="59">
        <f t="shared" si="9"/>
        <v>42.22222222222223</v>
      </c>
      <c r="S37" s="59">
        <f t="shared" si="9"/>
        <v>37.77777777777778</v>
      </c>
      <c r="T37" s="64">
        <f t="shared" si="9"/>
        <v>35.55555555555556</v>
      </c>
      <c r="V37" s="107">
        <f t="shared" si="10"/>
        <v>21</v>
      </c>
      <c r="W37" s="110">
        <f>Q28</f>
        <v>50</v>
      </c>
      <c r="X37" s="111">
        <f>Q29</f>
        <v>21</v>
      </c>
      <c r="Y37" s="115" t="str">
        <f t="shared" si="11"/>
        <v>50/21</v>
      </c>
      <c r="Z37" s="118">
        <f t="shared" si="12"/>
        <v>5</v>
      </c>
    </row>
    <row r="38" spans="2:26" ht="12.75">
      <c r="B38" s="55"/>
      <c r="C38" s="88">
        <v>14</v>
      </c>
      <c r="D38" s="89">
        <v>14</v>
      </c>
      <c r="E38" s="14"/>
      <c r="F38" s="14"/>
      <c r="H38" s="56">
        <f t="shared" si="8"/>
        <v>15</v>
      </c>
      <c r="I38" s="62">
        <f t="shared" si="9"/>
        <v>115.07936507936508</v>
      </c>
      <c r="J38" s="59">
        <f t="shared" si="9"/>
        <v>99.2063492063492</v>
      </c>
      <c r="K38" s="59">
        <f t="shared" si="9"/>
        <v>91.26984126984127</v>
      </c>
      <c r="L38" s="59">
        <f t="shared" si="9"/>
        <v>83.33333333333333</v>
      </c>
      <c r="M38" s="62">
        <f t="shared" si="9"/>
        <v>76.31257631257631</v>
      </c>
      <c r="N38" s="59">
        <f t="shared" si="9"/>
        <v>70.2075702075702</v>
      </c>
      <c r="O38" s="59">
        <f t="shared" si="9"/>
        <v>64.1025641025641</v>
      </c>
      <c r="P38" s="63">
        <f t="shared" si="9"/>
        <v>57.99755799755799</v>
      </c>
      <c r="Q38" s="59">
        <f t="shared" si="9"/>
        <v>50</v>
      </c>
      <c r="R38" s="59">
        <f t="shared" si="9"/>
        <v>45.23809523809524</v>
      </c>
      <c r="S38" s="59">
        <f t="shared" si="9"/>
        <v>40.476190476190474</v>
      </c>
      <c r="T38" s="64">
        <f t="shared" si="9"/>
        <v>38.095238095238095</v>
      </c>
      <c r="V38" s="107">
        <f t="shared" si="10"/>
        <v>23.210526315789473</v>
      </c>
      <c r="W38" s="110">
        <f>Q28</f>
        <v>50</v>
      </c>
      <c r="X38" s="110">
        <f>R29</f>
        <v>19</v>
      </c>
      <c r="Y38" s="115" t="str">
        <f t="shared" si="11"/>
        <v>50/19</v>
      </c>
      <c r="Z38" s="118">
        <f t="shared" si="12"/>
        <v>5.526315789473684</v>
      </c>
    </row>
    <row r="39" spans="2:26" ht="13.5" thickBot="1">
      <c r="B39" s="65"/>
      <c r="C39" s="91">
        <v>13</v>
      </c>
      <c r="D39" s="92">
        <v>13</v>
      </c>
      <c r="E39" s="14"/>
      <c r="F39" s="14"/>
      <c r="H39" s="56">
        <f t="shared" si="8"/>
        <v>16</v>
      </c>
      <c r="I39" s="62">
        <f t="shared" si="9"/>
        <v>122.75132275132275</v>
      </c>
      <c r="J39" s="59">
        <f t="shared" si="9"/>
        <v>105.82010582010582</v>
      </c>
      <c r="K39" s="59">
        <f t="shared" si="9"/>
        <v>97.35449735449735</v>
      </c>
      <c r="L39" s="59">
        <f t="shared" si="9"/>
        <v>88.8888888888889</v>
      </c>
      <c r="M39" s="62">
        <f t="shared" si="9"/>
        <v>81.4000814000814</v>
      </c>
      <c r="N39" s="59">
        <f t="shared" si="9"/>
        <v>74.8880748880749</v>
      </c>
      <c r="O39" s="59">
        <f t="shared" si="9"/>
        <v>68.37606837606837</v>
      </c>
      <c r="P39" s="63">
        <f t="shared" si="9"/>
        <v>61.86406186406187</v>
      </c>
      <c r="Q39" s="59">
        <f t="shared" si="9"/>
        <v>53.333333333333336</v>
      </c>
      <c r="R39" s="59">
        <f t="shared" si="9"/>
        <v>48.25396825396826</v>
      </c>
      <c r="S39" s="59">
        <f t="shared" si="9"/>
        <v>43.17460317460318</v>
      </c>
      <c r="T39" s="64">
        <f t="shared" si="9"/>
        <v>40.63492063492064</v>
      </c>
      <c r="V39" s="107">
        <f t="shared" si="10"/>
        <v>25.941176470588243</v>
      </c>
      <c r="W39" s="110">
        <f>Q28</f>
        <v>50</v>
      </c>
      <c r="X39" s="110">
        <f>S29</f>
        <v>17</v>
      </c>
      <c r="Y39" s="115" t="str">
        <f t="shared" si="11"/>
        <v>50/17</v>
      </c>
      <c r="Z39" s="118">
        <f t="shared" si="12"/>
        <v>6.176470588235295</v>
      </c>
    </row>
    <row r="40" spans="2:26" ht="13.5" thickBot="1">
      <c r="B40" s="14"/>
      <c r="C40" s="14"/>
      <c r="D40" s="14"/>
      <c r="E40" s="14"/>
      <c r="F40" s="14"/>
      <c r="H40" s="56">
        <f t="shared" si="8"/>
        <v>18</v>
      </c>
      <c r="I40" s="62">
        <f aca="true" t="shared" si="13" ref="I40:T49">$H40*1000/60/I$52</f>
        <v>138.09523809523807</v>
      </c>
      <c r="J40" s="59">
        <f t="shared" si="13"/>
        <v>119.04761904761905</v>
      </c>
      <c r="K40" s="59">
        <f t="shared" si="13"/>
        <v>109.52380952380952</v>
      </c>
      <c r="L40" s="59">
        <f t="shared" si="13"/>
        <v>100</v>
      </c>
      <c r="M40" s="62">
        <f t="shared" si="13"/>
        <v>91.57509157509156</v>
      </c>
      <c r="N40" s="59">
        <f t="shared" si="13"/>
        <v>84.24908424908425</v>
      </c>
      <c r="O40" s="59">
        <f t="shared" si="13"/>
        <v>76.92307692307692</v>
      </c>
      <c r="P40" s="63">
        <f t="shared" si="13"/>
        <v>69.59706959706959</v>
      </c>
      <c r="Q40" s="59">
        <f t="shared" si="13"/>
        <v>60</v>
      </c>
      <c r="R40" s="59">
        <f t="shared" si="13"/>
        <v>54.285714285714285</v>
      </c>
      <c r="S40" s="59">
        <f t="shared" si="13"/>
        <v>48.57142857142857</v>
      </c>
      <c r="T40" s="64">
        <f t="shared" si="13"/>
        <v>45.714285714285715</v>
      </c>
      <c r="V40" s="108">
        <f t="shared" si="10"/>
        <v>27.5625</v>
      </c>
      <c r="W40" s="112">
        <f>Q28</f>
        <v>50</v>
      </c>
      <c r="X40" s="112">
        <f>T29</f>
        <v>16</v>
      </c>
      <c r="Y40" s="119" t="str">
        <f t="shared" si="11"/>
        <v>50/16</v>
      </c>
      <c r="Z40" s="120">
        <f t="shared" si="12"/>
        <v>6.5625</v>
      </c>
    </row>
    <row r="41" spans="2:22" ht="12.75">
      <c r="B41" s="14"/>
      <c r="C41" s="14"/>
      <c r="D41" s="14"/>
      <c r="E41" s="14"/>
      <c r="F41" s="14"/>
      <c r="H41" s="56">
        <f t="shared" si="8"/>
        <v>20</v>
      </c>
      <c r="I41" s="62">
        <f t="shared" si="13"/>
        <v>153.43915343915342</v>
      </c>
      <c r="J41" s="59">
        <f t="shared" si="13"/>
        <v>132.27513227513228</v>
      </c>
      <c r="K41" s="59">
        <f t="shared" si="13"/>
        <v>121.69312169312168</v>
      </c>
      <c r="L41" s="59">
        <f t="shared" si="13"/>
        <v>111.1111111111111</v>
      </c>
      <c r="M41" s="62">
        <f t="shared" si="13"/>
        <v>101.75010175010173</v>
      </c>
      <c r="N41" s="59">
        <f t="shared" si="13"/>
        <v>93.6100936100936</v>
      </c>
      <c r="O41" s="59">
        <f t="shared" si="13"/>
        <v>85.47008547008545</v>
      </c>
      <c r="P41" s="63">
        <f t="shared" si="13"/>
        <v>77.33007733007732</v>
      </c>
      <c r="Q41" s="59">
        <f t="shared" si="13"/>
        <v>66.66666666666666</v>
      </c>
      <c r="R41" s="59">
        <f t="shared" si="13"/>
        <v>60.317460317460316</v>
      </c>
      <c r="S41" s="59">
        <f t="shared" si="13"/>
        <v>53.96825396825396</v>
      </c>
      <c r="T41" s="64">
        <f t="shared" si="13"/>
        <v>50.79365079365079</v>
      </c>
      <c r="V41" s="10" t="s">
        <v>53</v>
      </c>
    </row>
    <row r="42" spans="2:22" ht="12.75">
      <c r="B42" s="14"/>
      <c r="C42" s="14"/>
      <c r="D42" s="14"/>
      <c r="E42" s="14"/>
      <c r="F42" s="14"/>
      <c r="H42" s="56">
        <f t="shared" si="8"/>
        <v>22</v>
      </c>
      <c r="I42" s="62">
        <f t="shared" si="13"/>
        <v>168.78306878306879</v>
      </c>
      <c r="J42" s="59">
        <f t="shared" si="13"/>
        <v>145.50264550264552</v>
      </c>
      <c r="K42" s="59">
        <f t="shared" si="13"/>
        <v>133.86243386243387</v>
      </c>
      <c r="L42" s="59">
        <f t="shared" si="13"/>
        <v>122.22222222222223</v>
      </c>
      <c r="M42" s="62">
        <f t="shared" si="13"/>
        <v>111.92511192511192</v>
      </c>
      <c r="N42" s="59">
        <f t="shared" si="13"/>
        <v>102.97110297110298</v>
      </c>
      <c r="O42" s="59">
        <f t="shared" si="13"/>
        <v>94.01709401709401</v>
      </c>
      <c r="P42" s="63">
        <f t="shared" si="13"/>
        <v>85.06308506308505</v>
      </c>
      <c r="Q42" s="59">
        <f t="shared" si="13"/>
        <v>73.33333333333334</v>
      </c>
      <c r="R42" s="59">
        <f t="shared" si="13"/>
        <v>66.34920634920636</v>
      </c>
      <c r="S42" s="59">
        <f t="shared" si="13"/>
        <v>59.36507936507937</v>
      </c>
      <c r="T42" s="64">
        <f t="shared" si="13"/>
        <v>55.87301587301587</v>
      </c>
      <c r="V42" s="10" t="s">
        <v>213</v>
      </c>
    </row>
    <row r="43" spans="8:20" ht="12.75">
      <c r="H43" s="56">
        <f t="shared" si="8"/>
        <v>24</v>
      </c>
      <c r="I43" s="62">
        <f t="shared" si="13"/>
        <v>184.12698412698413</v>
      </c>
      <c r="J43" s="59">
        <f t="shared" si="13"/>
        <v>158.73015873015873</v>
      </c>
      <c r="K43" s="59">
        <f t="shared" si="13"/>
        <v>146.03174603174602</v>
      </c>
      <c r="L43" s="59">
        <f t="shared" si="13"/>
        <v>133.33333333333334</v>
      </c>
      <c r="M43" s="62">
        <f t="shared" si="13"/>
        <v>122.10012210012209</v>
      </c>
      <c r="N43" s="59">
        <f t="shared" si="13"/>
        <v>112.33211233211233</v>
      </c>
      <c r="O43" s="59">
        <f t="shared" si="13"/>
        <v>102.56410256410255</v>
      </c>
      <c r="P43" s="63">
        <f t="shared" si="13"/>
        <v>92.7960927960928</v>
      </c>
      <c r="Q43" s="59">
        <f t="shared" si="13"/>
        <v>80</v>
      </c>
      <c r="R43" s="59">
        <f t="shared" si="13"/>
        <v>72.38095238095238</v>
      </c>
      <c r="S43" s="59">
        <f t="shared" si="13"/>
        <v>64.76190476190476</v>
      </c>
      <c r="T43" s="64">
        <f t="shared" si="13"/>
        <v>60.95238095238095</v>
      </c>
    </row>
    <row r="44" spans="8:20" ht="12.75">
      <c r="H44" s="56">
        <f t="shared" si="8"/>
        <v>26</v>
      </c>
      <c r="I44" s="62">
        <f t="shared" si="13"/>
        <v>199.47089947089944</v>
      </c>
      <c r="J44" s="59">
        <f t="shared" si="13"/>
        <v>171.95767195767195</v>
      </c>
      <c r="K44" s="59">
        <f t="shared" si="13"/>
        <v>158.20105820105817</v>
      </c>
      <c r="L44" s="59">
        <f t="shared" si="13"/>
        <v>144.44444444444443</v>
      </c>
      <c r="M44" s="62">
        <f t="shared" si="13"/>
        <v>132.27513227513225</v>
      </c>
      <c r="N44" s="59">
        <f t="shared" si="13"/>
        <v>121.69312169312168</v>
      </c>
      <c r="O44" s="59">
        <f t="shared" si="13"/>
        <v>111.1111111111111</v>
      </c>
      <c r="P44" s="63">
        <f t="shared" si="13"/>
        <v>100.52910052910052</v>
      </c>
      <c r="Q44" s="59">
        <f t="shared" si="13"/>
        <v>86.66666666666666</v>
      </c>
      <c r="R44" s="59">
        <f t="shared" si="13"/>
        <v>78.41269841269842</v>
      </c>
      <c r="S44" s="59">
        <f t="shared" si="13"/>
        <v>70.15873015873015</v>
      </c>
      <c r="T44" s="64">
        <f t="shared" si="13"/>
        <v>66.03174603174602</v>
      </c>
    </row>
    <row r="45" spans="8:20" ht="12.75">
      <c r="H45" s="56">
        <f t="shared" si="8"/>
        <v>28</v>
      </c>
      <c r="I45" s="62">
        <f t="shared" si="13"/>
        <v>214.8148148148148</v>
      </c>
      <c r="J45" s="59">
        <f t="shared" si="13"/>
        <v>185.1851851851852</v>
      </c>
      <c r="K45" s="59">
        <f t="shared" si="13"/>
        <v>170.37037037037035</v>
      </c>
      <c r="L45" s="59">
        <f t="shared" si="13"/>
        <v>155.55555555555557</v>
      </c>
      <c r="M45" s="62">
        <f t="shared" si="13"/>
        <v>142.45014245014244</v>
      </c>
      <c r="N45" s="59">
        <f t="shared" si="13"/>
        <v>131.05413105413106</v>
      </c>
      <c r="O45" s="59">
        <f t="shared" si="13"/>
        <v>119.65811965811965</v>
      </c>
      <c r="P45" s="63">
        <f t="shared" si="13"/>
        <v>108.26210826210826</v>
      </c>
      <c r="Q45" s="59">
        <f t="shared" si="13"/>
        <v>93.33333333333334</v>
      </c>
      <c r="R45" s="59">
        <f t="shared" si="13"/>
        <v>84.44444444444446</v>
      </c>
      <c r="S45" s="59">
        <f t="shared" si="13"/>
        <v>75.55555555555556</v>
      </c>
      <c r="T45" s="64">
        <f t="shared" si="13"/>
        <v>71.11111111111111</v>
      </c>
    </row>
    <row r="46" spans="8:20" ht="12.75">
      <c r="H46" s="56">
        <f t="shared" si="8"/>
        <v>30</v>
      </c>
      <c r="I46" s="62">
        <f t="shared" si="13"/>
        <v>230.15873015873015</v>
      </c>
      <c r="J46" s="59">
        <f t="shared" si="13"/>
        <v>198.4126984126984</v>
      </c>
      <c r="K46" s="59">
        <f t="shared" si="13"/>
        <v>182.53968253968253</v>
      </c>
      <c r="L46" s="59">
        <f t="shared" si="13"/>
        <v>166.66666666666666</v>
      </c>
      <c r="M46" s="62">
        <f t="shared" si="13"/>
        <v>152.62515262515262</v>
      </c>
      <c r="N46" s="59">
        <f t="shared" si="13"/>
        <v>140.4151404151404</v>
      </c>
      <c r="O46" s="59">
        <f t="shared" si="13"/>
        <v>128.2051282051282</v>
      </c>
      <c r="P46" s="63">
        <f t="shared" si="13"/>
        <v>115.99511599511598</v>
      </c>
      <c r="Q46" s="59">
        <f t="shared" si="13"/>
        <v>100</v>
      </c>
      <c r="R46" s="59">
        <f t="shared" si="13"/>
        <v>90.47619047619048</v>
      </c>
      <c r="S46" s="59">
        <f t="shared" si="13"/>
        <v>80.95238095238095</v>
      </c>
      <c r="T46" s="64">
        <f t="shared" si="13"/>
        <v>76.19047619047619</v>
      </c>
    </row>
    <row r="47" spans="8:20" ht="12.75">
      <c r="H47" s="56">
        <f t="shared" si="8"/>
        <v>32</v>
      </c>
      <c r="I47" s="62">
        <f t="shared" si="13"/>
        <v>245.5026455026455</v>
      </c>
      <c r="J47" s="59">
        <f t="shared" si="13"/>
        <v>211.64021164021165</v>
      </c>
      <c r="K47" s="59">
        <f t="shared" si="13"/>
        <v>194.7089947089947</v>
      </c>
      <c r="L47" s="59">
        <f t="shared" si="13"/>
        <v>177.7777777777778</v>
      </c>
      <c r="M47" s="62">
        <f t="shared" si="13"/>
        <v>162.8001628001628</v>
      </c>
      <c r="N47" s="59">
        <f t="shared" si="13"/>
        <v>149.7761497761498</v>
      </c>
      <c r="O47" s="59">
        <f t="shared" si="13"/>
        <v>136.75213675213675</v>
      </c>
      <c r="P47" s="63">
        <f t="shared" si="13"/>
        <v>123.72812372812373</v>
      </c>
      <c r="Q47" s="59">
        <f t="shared" si="13"/>
        <v>106.66666666666667</v>
      </c>
      <c r="R47" s="59">
        <f t="shared" si="13"/>
        <v>96.50793650793652</v>
      </c>
      <c r="S47" s="59">
        <f t="shared" si="13"/>
        <v>86.34920634920636</v>
      </c>
      <c r="T47" s="64">
        <f t="shared" si="13"/>
        <v>81.26984126984128</v>
      </c>
    </row>
    <row r="48" spans="8:20" ht="12.75">
      <c r="H48" s="56">
        <f t="shared" si="8"/>
        <v>34</v>
      </c>
      <c r="I48" s="62">
        <f t="shared" si="13"/>
        <v>260.8465608465608</v>
      </c>
      <c r="J48" s="59">
        <f t="shared" si="13"/>
        <v>224.86772486772486</v>
      </c>
      <c r="K48" s="59">
        <f t="shared" si="13"/>
        <v>206.87830687830686</v>
      </c>
      <c r="L48" s="59">
        <f t="shared" si="13"/>
        <v>188.88888888888889</v>
      </c>
      <c r="M48" s="62">
        <f t="shared" si="13"/>
        <v>172.97517297517294</v>
      </c>
      <c r="N48" s="59">
        <f t="shared" si="13"/>
        <v>159.13715913715913</v>
      </c>
      <c r="O48" s="59">
        <f t="shared" si="13"/>
        <v>145.29914529914527</v>
      </c>
      <c r="P48" s="63">
        <f t="shared" si="13"/>
        <v>131.46113146113143</v>
      </c>
      <c r="Q48" s="59">
        <f t="shared" si="13"/>
        <v>113.33333333333333</v>
      </c>
      <c r="R48" s="59">
        <f t="shared" si="13"/>
        <v>102.53968253968253</v>
      </c>
      <c r="S48" s="59">
        <f t="shared" si="13"/>
        <v>91.74603174603173</v>
      </c>
      <c r="T48" s="64">
        <f t="shared" si="13"/>
        <v>86.34920634920634</v>
      </c>
    </row>
    <row r="49" spans="8:20" ht="13.5" thickBot="1">
      <c r="H49" s="66">
        <f t="shared" si="8"/>
        <v>36</v>
      </c>
      <c r="I49" s="67">
        <f t="shared" si="13"/>
        <v>276.19047619047615</v>
      </c>
      <c r="J49" s="68">
        <f t="shared" si="13"/>
        <v>238.0952380952381</v>
      </c>
      <c r="K49" s="68">
        <f t="shared" si="13"/>
        <v>219.04761904761904</v>
      </c>
      <c r="L49" s="68">
        <f t="shared" si="13"/>
        <v>200</v>
      </c>
      <c r="M49" s="67">
        <f t="shared" si="13"/>
        <v>183.15018315018312</v>
      </c>
      <c r="N49" s="68">
        <f t="shared" si="13"/>
        <v>168.4981684981685</v>
      </c>
      <c r="O49" s="68">
        <f t="shared" si="13"/>
        <v>153.84615384615384</v>
      </c>
      <c r="P49" s="69">
        <f t="shared" si="13"/>
        <v>139.19413919413918</v>
      </c>
      <c r="Q49" s="68">
        <f t="shared" si="13"/>
        <v>120</v>
      </c>
      <c r="R49" s="68">
        <f t="shared" si="13"/>
        <v>108.57142857142857</v>
      </c>
      <c r="S49" s="68">
        <f t="shared" si="13"/>
        <v>97.14285714285714</v>
      </c>
      <c r="T49" s="70">
        <f t="shared" si="13"/>
        <v>91.42857142857143</v>
      </c>
    </row>
    <row r="50" ht="13.5" thickBot="1"/>
    <row r="51" spans="8:20" ht="12.75">
      <c r="H51" s="42" t="s">
        <v>83</v>
      </c>
      <c r="I51" s="19" t="s">
        <v>65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8:20" ht="12.75">
      <c r="H52" s="71" t="s">
        <v>64</v>
      </c>
      <c r="I52" s="72">
        <f>Omtrek/100*$I28/I29</f>
        <v>2.1724137931034484</v>
      </c>
      <c r="J52" s="73">
        <f>Omtrek/100*$I28/J29</f>
        <v>2.52</v>
      </c>
      <c r="K52" s="73">
        <f>Omtrek/100*$I28/K29</f>
        <v>2.739130434782609</v>
      </c>
      <c r="L52" s="73">
        <f>Omtrek/100*$I28/L29</f>
        <v>3</v>
      </c>
      <c r="M52" s="73">
        <f>Omtrek/100*$M28/M29</f>
        <v>3.2760000000000002</v>
      </c>
      <c r="N52" s="73">
        <f>Omtrek/100*$M28/N29</f>
        <v>3.5608695652173914</v>
      </c>
      <c r="O52" s="73">
        <f>Omtrek/100*$M28/O29</f>
        <v>3.9000000000000004</v>
      </c>
      <c r="P52" s="73">
        <f>Omtrek/100*$M28/P29</f>
        <v>4.310526315789474</v>
      </c>
      <c r="Q52" s="73">
        <f>Omtrek/100*$Q28/Q29</f>
        <v>5</v>
      </c>
      <c r="R52" s="73">
        <f>Omtrek/100*$Q28/R29</f>
        <v>5.526315789473684</v>
      </c>
      <c r="S52" s="73">
        <f>Omtrek/100*$Q28/S29</f>
        <v>6.176470588235294</v>
      </c>
      <c r="T52" s="74">
        <f>Omtrek/100*$Q28/T29</f>
        <v>6.5625</v>
      </c>
    </row>
    <row r="53" spans="8:20" ht="12.75">
      <c r="H53" s="93">
        <v>70</v>
      </c>
      <c r="I53" s="75">
        <f>I$52*$H53*60/1000</f>
        <v>9.124137931034484</v>
      </c>
      <c r="J53" s="75">
        <f aca="true" t="shared" si="14" ref="J53:T54">J$52*$H53*60/1000</f>
        <v>10.584</v>
      </c>
      <c r="K53" s="75">
        <f t="shared" si="14"/>
        <v>11.504347826086958</v>
      </c>
      <c r="L53" s="75">
        <f t="shared" si="14"/>
        <v>12.6</v>
      </c>
      <c r="M53" s="76">
        <f t="shared" si="14"/>
        <v>13.7592</v>
      </c>
      <c r="N53" s="75">
        <f t="shared" si="14"/>
        <v>14.955652173913045</v>
      </c>
      <c r="O53" s="75">
        <f t="shared" si="14"/>
        <v>16.38</v>
      </c>
      <c r="P53" s="77">
        <f t="shared" si="14"/>
        <v>18.10421052631579</v>
      </c>
      <c r="Q53" s="76">
        <f t="shared" si="14"/>
        <v>21</v>
      </c>
      <c r="R53" s="75">
        <f t="shared" si="14"/>
        <v>23.210526315789473</v>
      </c>
      <c r="S53" s="75">
        <f t="shared" si="14"/>
        <v>25.94117647058824</v>
      </c>
      <c r="T53" s="78">
        <f t="shared" si="14"/>
        <v>27.5625</v>
      </c>
    </row>
    <row r="54" spans="8:20" ht="13.5" thickBot="1">
      <c r="H54" s="94">
        <v>80</v>
      </c>
      <c r="I54" s="79">
        <f>I$52*$H54*60/1000</f>
        <v>10.427586206896553</v>
      </c>
      <c r="J54" s="79">
        <f t="shared" si="14"/>
        <v>12.096</v>
      </c>
      <c r="K54" s="79">
        <f t="shared" si="14"/>
        <v>13.147826086956524</v>
      </c>
      <c r="L54" s="79">
        <f t="shared" si="14"/>
        <v>14.4</v>
      </c>
      <c r="M54" s="80">
        <f t="shared" si="14"/>
        <v>15.724800000000004</v>
      </c>
      <c r="N54" s="79">
        <f t="shared" si="14"/>
        <v>17.09217391304348</v>
      </c>
      <c r="O54" s="79">
        <f t="shared" si="14"/>
        <v>18.72</v>
      </c>
      <c r="P54" s="81">
        <f t="shared" si="14"/>
        <v>20.690526315789473</v>
      </c>
      <c r="Q54" s="80">
        <f t="shared" si="14"/>
        <v>24</v>
      </c>
      <c r="R54" s="79">
        <f t="shared" si="14"/>
        <v>26.526315789473685</v>
      </c>
      <c r="S54" s="79">
        <f t="shared" si="14"/>
        <v>29.647058823529413</v>
      </c>
      <c r="T54" s="82">
        <f t="shared" si="14"/>
        <v>31.5</v>
      </c>
    </row>
    <row r="55" spans="8:9" ht="13.5" thickBot="1">
      <c r="H55" s="94">
        <v>6</v>
      </c>
      <c r="I55" s="83" t="s">
        <v>96</v>
      </c>
    </row>
    <row r="89" ht="15">
      <c r="B89" s="136" t="s">
        <v>85</v>
      </c>
    </row>
  </sheetData>
  <sheetProtection sheet="1" objects="1" scenarios="1"/>
  <conditionalFormatting sqref="Q54 M54">
    <cfRule type="cellIs" priority="1" dxfId="0" operator="lessThan" stopIfTrue="1">
      <formula>L54</formula>
    </cfRule>
  </conditionalFormatting>
  <conditionalFormatting sqref="W30:W40">
    <cfRule type="cellIs" priority="2" dxfId="0" operator="lessThan" stopIfTrue="1">
      <formula>W29</formula>
    </cfRule>
  </conditionalFormatting>
  <conditionalFormatting sqref="I52:T52">
    <cfRule type="cellIs" priority="3" dxfId="1" operator="between" stopIfTrue="1">
      <formula>59</formula>
      <formula>86</formula>
    </cfRule>
    <cfRule type="cellIs" priority="4" dxfId="2" operator="between" stopIfTrue="1">
      <formula>54</formula>
      <formula>59.1</formula>
    </cfRule>
    <cfRule type="cellIs" priority="5" dxfId="2" operator="between" stopIfTrue="1">
      <formula>86</formula>
      <formula>91</formula>
    </cfRule>
  </conditionalFormatting>
  <conditionalFormatting sqref="I30:T49">
    <cfRule type="cellIs" priority="6" dxfId="1" operator="between" stopIfTrue="1">
      <formula>Fmin</formula>
      <formula>Fmax</formula>
    </cfRule>
    <cfRule type="cellIs" priority="7" dxfId="2" operator="between" stopIfTrue="1">
      <formula>Fmin-speling</formula>
      <formula>Fmin</formula>
    </cfRule>
    <cfRule type="cellIs" priority="8" dxfId="2" operator="between" stopIfTrue="1">
      <formula>Fmax</formula>
      <formula>Fmax+speling</formula>
    </cfRule>
  </conditionalFormatting>
  <conditionalFormatting sqref="V27">
    <cfRule type="cellIs" priority="9" dxfId="3" operator="equal" stopIfTrue="1">
      <formula>Fmax</formula>
    </cfRule>
  </conditionalFormatting>
  <conditionalFormatting sqref="I6:T25">
    <cfRule type="cellIs" priority="10" dxfId="4" operator="greaterThan" stopIfTrue="1">
      <formula>vermogen</formula>
    </cfRule>
  </conditionalFormatting>
  <dataValidations count="1">
    <dataValidation type="list" allowBlank="1" showInputMessage="1" showErrorMessage="1" sqref="H28">
      <formula1>$C$29:$D$29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6"/>
  <sheetViews>
    <sheetView showZeros="0" zoomScale="77" zoomScaleNormal="77" zoomScaleSheetLayoutView="100" workbookViewId="0" topLeftCell="A1">
      <selection activeCell="M52" sqref="M52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4.57421875" style="0" customWidth="1"/>
    <col min="4" max="4" width="5.421875" style="0" customWidth="1"/>
    <col min="5" max="6" width="4.7109375" style="0" customWidth="1"/>
    <col min="7" max="7" width="4.8515625" style="0" customWidth="1"/>
    <col min="8" max="8" width="5.7109375" style="0" customWidth="1"/>
    <col min="9" max="10" width="4.7109375" style="0" customWidth="1"/>
    <col min="11" max="11" width="5.8515625" style="0" customWidth="1"/>
    <col min="12" max="12" width="5.28125" style="0" customWidth="1"/>
    <col min="13" max="13" width="4.7109375" style="0" customWidth="1"/>
    <col min="14" max="14" width="6.00390625" style="0" customWidth="1"/>
    <col min="15" max="15" width="4.57421875" style="0" customWidth="1"/>
    <col min="16" max="16" width="5.421875" style="0" customWidth="1"/>
    <col min="17" max="18" width="4.7109375" style="0" customWidth="1"/>
    <col min="19" max="19" width="4.8515625" style="0" customWidth="1"/>
    <col min="20" max="20" width="5.7109375" style="0" customWidth="1"/>
    <col min="21" max="22" width="4.7109375" style="0" customWidth="1"/>
    <col min="23" max="23" width="5.7109375" style="0" customWidth="1"/>
    <col min="24" max="24" width="5.28125" style="0" customWidth="1"/>
    <col min="25" max="25" width="4.7109375" style="0" customWidth="1"/>
    <col min="26" max="26" width="6.00390625" style="0" customWidth="1"/>
    <col min="27" max="27" width="4.57421875" style="0" customWidth="1"/>
    <col min="28" max="28" width="5.421875" style="0" customWidth="1"/>
    <col min="29" max="30" width="4.7109375" style="0" customWidth="1"/>
    <col min="31" max="31" width="4.8515625" style="0" customWidth="1"/>
    <col min="32" max="32" width="5.8515625" style="0" customWidth="1"/>
    <col min="33" max="33" width="4.57421875" style="0" customWidth="1"/>
    <col min="34" max="34" width="4.7109375" style="0" customWidth="1"/>
    <col min="35" max="35" width="5.7109375" style="0" customWidth="1"/>
    <col min="36" max="36" width="5.28125" style="0" customWidth="1"/>
    <col min="37" max="38" width="4.7109375" style="0" customWidth="1"/>
    <col min="39" max="39" width="3.421875" style="0" customWidth="1"/>
    <col min="40" max="40" width="6.28125" style="0" customWidth="1"/>
    <col min="41" max="16384" width="8.8515625" style="0" customWidth="1"/>
  </cols>
  <sheetData>
    <row r="1" spans="2:3" ht="12.75">
      <c r="B1" s="121" t="s">
        <v>46</v>
      </c>
      <c r="C1" s="121"/>
    </row>
    <row r="2" spans="2:3" ht="12.75">
      <c r="B2" s="121" t="s">
        <v>212</v>
      </c>
      <c r="C2" s="121"/>
    </row>
    <row r="4" spans="2:9" ht="15.75">
      <c r="B4" s="135" t="str">
        <f>"Persoonlijke Klimplanning van "&amp;Tabel!D4</f>
        <v>Persoonlijke Klimplanning van Wim Torfs</v>
      </c>
      <c r="C4" s="135"/>
      <c r="D4" s="141"/>
      <c r="E4" s="141"/>
      <c r="F4" s="141"/>
      <c r="G4" s="141"/>
      <c r="H4" s="141"/>
      <c r="I4" s="135"/>
    </row>
    <row r="5" spans="2:9" ht="12" customHeight="1">
      <c r="B5" s="139" t="str">
        <f>GebruikteRelaties!B58</f>
        <v>© Loet Janssen / Wim Torfs - www.dekaleberg.nl</v>
      </c>
      <c r="C5" s="139"/>
      <c r="I5" s="138"/>
    </row>
    <row r="6" ht="8.25" customHeight="1"/>
    <row r="7" spans="2:11" ht="12.75">
      <c r="B7" t="str">
        <f>Tabel!B5</f>
        <v>gewicht fietser</v>
      </c>
      <c r="J7" t="str">
        <f>Tabel!E5</f>
        <v>kg</v>
      </c>
      <c r="K7">
        <f>Gpers</f>
        <v>73</v>
      </c>
    </row>
    <row r="8" spans="2:11" ht="12.75">
      <c r="B8" t="str">
        <f>Tabel!B10</f>
        <v>wielomtrek</v>
      </c>
      <c r="J8" t="str">
        <f>Tabel!E10</f>
        <v>cm</v>
      </c>
      <c r="K8">
        <f>Omtrek</f>
        <v>210</v>
      </c>
    </row>
    <row r="9" spans="2:11" ht="12.75">
      <c r="B9" t="str">
        <f>Tabel!B11</f>
        <v>persoonlijk maximaal uurgemiddelde</v>
      </c>
      <c r="J9" t="str">
        <f>Tabel!E11</f>
        <v>km/hr</v>
      </c>
      <c r="K9">
        <f>Vmax</f>
        <v>31</v>
      </c>
    </row>
    <row r="10" spans="2:11" ht="12.75">
      <c r="B10" t="str">
        <f>Tabel!B12</f>
        <v>berekend max. vermogen</v>
      </c>
      <c r="J10" t="str">
        <f>Tabel!E12</f>
        <v>J/s</v>
      </c>
      <c r="K10" s="192">
        <f>MaxVermogen</f>
        <v>211.81859818793993</v>
      </c>
    </row>
    <row r="11" spans="2:11" ht="12.75">
      <c r="B11" t="str">
        <f>Tabel!B13</f>
        <v>reductiecoëfficiënt toegestane vermogen</v>
      </c>
      <c r="K11" s="140">
        <f>Tabel!F13</f>
        <v>1</v>
      </c>
    </row>
    <row r="12" spans="2:11" ht="12.75">
      <c r="B12" t="str">
        <f>Tabel!B14</f>
        <v>gereduceerd vermogen</v>
      </c>
      <c r="J12" t="str">
        <f>Tabel!E14</f>
        <v>J/s</v>
      </c>
      <c r="K12" s="192">
        <f>vermogen</f>
        <v>211.81859818793993</v>
      </c>
    </row>
    <row r="13" spans="2:11" ht="12.75">
      <c r="B13" t="str">
        <f>Tabel!B15</f>
        <v>windsnelheid (enkel bij klimmen)</v>
      </c>
      <c r="J13" t="str">
        <f>Tabel!E15</f>
        <v>m/s</v>
      </c>
      <c r="K13">
        <f>Vwind</f>
        <v>0</v>
      </c>
    </row>
    <row r="14" spans="2:11" ht="12.75">
      <c r="B14" t="str">
        <f>Tabel!B17</f>
        <v>max klimsnelheid</v>
      </c>
      <c r="J14" t="str">
        <f>Tabel!E17</f>
        <v>km/hr</v>
      </c>
      <c r="K14">
        <f>VmaxKlim</f>
        <v>99</v>
      </c>
    </row>
    <row r="15" ht="8.25" customHeight="1"/>
    <row r="16" spans="2:36" ht="116.25" customHeight="1" thickBot="1">
      <c r="B16" s="105" t="s">
        <v>50</v>
      </c>
      <c r="C16" s="105" t="s">
        <v>181</v>
      </c>
      <c r="D16" s="105" t="s">
        <v>21</v>
      </c>
      <c r="E16" s="105" t="s">
        <v>26</v>
      </c>
      <c r="F16" s="105" t="s">
        <v>68</v>
      </c>
      <c r="G16" s="105" t="s">
        <v>112</v>
      </c>
      <c r="H16" s="105" t="s">
        <v>51</v>
      </c>
      <c r="I16" s="105" t="s">
        <v>56</v>
      </c>
      <c r="J16" s="105" t="s">
        <v>122</v>
      </c>
      <c r="K16" s="105" t="s">
        <v>119</v>
      </c>
      <c r="L16" s="105" t="s">
        <v>55</v>
      </c>
      <c r="N16" s="105" t="s">
        <v>50</v>
      </c>
      <c r="O16" s="105" t="s">
        <v>181</v>
      </c>
      <c r="P16" s="105" t="s">
        <v>21</v>
      </c>
      <c r="Q16" s="105" t="s">
        <v>26</v>
      </c>
      <c r="R16" s="105" t="s">
        <v>68</v>
      </c>
      <c r="S16" s="105" t="s">
        <v>112</v>
      </c>
      <c r="T16" s="105" t="s">
        <v>51</v>
      </c>
      <c r="U16" s="105" t="s">
        <v>56</v>
      </c>
      <c r="V16" s="105" t="s">
        <v>122</v>
      </c>
      <c r="W16" s="105" t="s">
        <v>119</v>
      </c>
      <c r="X16" s="105" t="s">
        <v>55</v>
      </c>
      <c r="Z16" s="105" t="s">
        <v>50</v>
      </c>
      <c r="AA16" s="105" t="s">
        <v>181</v>
      </c>
      <c r="AB16" s="105" t="s">
        <v>21</v>
      </c>
      <c r="AC16" s="105" t="s">
        <v>26</v>
      </c>
      <c r="AD16" s="105" t="s">
        <v>68</v>
      </c>
      <c r="AE16" s="105" t="s">
        <v>112</v>
      </c>
      <c r="AF16" s="105" t="s">
        <v>51</v>
      </c>
      <c r="AG16" s="105" t="s">
        <v>56</v>
      </c>
      <c r="AH16" s="105" t="s">
        <v>122</v>
      </c>
      <c r="AI16" s="105" t="s">
        <v>119</v>
      </c>
      <c r="AJ16" s="105" t="s">
        <v>55</v>
      </c>
    </row>
    <row r="17" spans="2:36" ht="12.75">
      <c r="B17" s="256" t="s">
        <v>104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9"/>
      <c r="N17" s="256" t="s">
        <v>105</v>
      </c>
      <c r="O17" s="257"/>
      <c r="P17" s="258"/>
      <c r="Q17" s="258"/>
      <c r="R17" s="258"/>
      <c r="S17" s="258"/>
      <c r="T17" s="258"/>
      <c r="U17" s="258"/>
      <c r="V17" s="258"/>
      <c r="W17" s="258"/>
      <c r="X17" s="259"/>
      <c r="Z17" s="256" t="s">
        <v>69</v>
      </c>
      <c r="AA17" s="257"/>
      <c r="AB17" s="258"/>
      <c r="AC17" s="258"/>
      <c r="AD17" s="258"/>
      <c r="AE17" s="258"/>
      <c r="AF17" s="258"/>
      <c r="AG17" s="258"/>
      <c r="AH17" s="258"/>
      <c r="AI17" s="258"/>
      <c r="AJ17" s="259"/>
    </row>
    <row r="18" spans="2:36" ht="12.75">
      <c r="B18" s="114" t="s">
        <v>10</v>
      </c>
      <c r="C18" s="181" t="s">
        <v>10</v>
      </c>
      <c r="D18" s="113" t="s">
        <v>66</v>
      </c>
      <c r="E18" s="113" t="s">
        <v>47</v>
      </c>
      <c r="F18" s="113" t="s">
        <v>48</v>
      </c>
      <c r="G18" s="113" t="s">
        <v>52</v>
      </c>
      <c r="H18" s="113" t="s">
        <v>49</v>
      </c>
      <c r="I18" s="113" t="s">
        <v>54</v>
      </c>
      <c r="J18" s="125" t="s">
        <v>120</v>
      </c>
      <c r="K18" s="125" t="s">
        <v>116</v>
      </c>
      <c r="L18" s="188" t="s">
        <v>67</v>
      </c>
      <c r="N18" s="114" t="s">
        <v>10</v>
      </c>
      <c r="O18" s="181" t="s">
        <v>10</v>
      </c>
      <c r="P18" s="113" t="s">
        <v>66</v>
      </c>
      <c r="Q18" s="113" t="s">
        <v>47</v>
      </c>
      <c r="R18" s="113" t="s">
        <v>48</v>
      </c>
      <c r="S18" s="113" t="s">
        <v>52</v>
      </c>
      <c r="T18" s="113" t="s">
        <v>49</v>
      </c>
      <c r="U18" s="113" t="s">
        <v>54</v>
      </c>
      <c r="V18" s="125" t="s">
        <v>120</v>
      </c>
      <c r="W18" s="125" t="s">
        <v>116</v>
      </c>
      <c r="X18" s="188" t="s">
        <v>67</v>
      </c>
      <c r="Z18" s="114" t="s">
        <v>10</v>
      </c>
      <c r="AA18" s="181" t="s">
        <v>10</v>
      </c>
      <c r="AB18" s="113" t="s">
        <v>66</v>
      </c>
      <c r="AC18" s="113" t="s">
        <v>47</v>
      </c>
      <c r="AD18" s="113" t="s">
        <v>48</v>
      </c>
      <c r="AE18" s="113" t="s">
        <v>52</v>
      </c>
      <c r="AF18" s="113" t="s">
        <v>49</v>
      </c>
      <c r="AG18" s="113" t="s">
        <v>54</v>
      </c>
      <c r="AH18" s="125" t="s">
        <v>120</v>
      </c>
      <c r="AI18" s="125" t="s">
        <v>116</v>
      </c>
      <c r="AJ18" s="188" t="s">
        <v>67</v>
      </c>
    </row>
    <row r="19" spans="2:36" ht="12.75">
      <c r="B19" s="208">
        <f>C19</f>
        <v>1</v>
      </c>
      <c r="C19" s="209">
        <f aca="true" t="shared" si="0" ref="C19:C47">IF(ISBLANK(HLOOKUP(B$17,Cols,ROW()+2-ROW(B$17),FALSE)),IF(ISBLANK(HLOOKUP(B$17,Cols,ROW()+1-ROW(B$17),FALSE)),0,C$49),1)</f>
        <v>1</v>
      </c>
      <c r="D19" s="210">
        <f aca="true" t="shared" si="1" ref="D19:D47">HLOOKUP(B$17,Cols,ROW()+1-ROW(B$17),FALSE)</f>
        <v>0.035</v>
      </c>
      <c r="E19" s="211">
        <f aca="true" t="shared" si="2" ref="E19:E40">IF(C19&gt;0,IF(VLOOKUP(D19,VlookupSnelheid,2)&gt;VmaxKlim,VmaxKlim,VLOOKUP(D19,VlookupSnelheid,2)),0)</f>
        <v>18</v>
      </c>
      <c r="F19" s="212">
        <f aca="true" t="shared" si="3" ref="F19:F40">IF(C19&gt;0,C19/E19*60,0)</f>
        <v>3.333333333333333</v>
      </c>
      <c r="G19" s="213">
        <f>F19</f>
        <v>3.333333333333333</v>
      </c>
      <c r="H19" s="211" t="str">
        <f aca="true" t="shared" si="4" ref="H19:H40">IF(C19&gt;0,IF(ISNA(VLOOKUP(E19,VerzetIfvSnelheid,4)),VerzetMin,VLOOKUP(E19,VerzetIfvSnelheid,4)),0)</f>
        <v>39/21</v>
      </c>
      <c r="I19" s="213">
        <f>IF(ISNA(VLOOKUP(E19,VerzetIfvSnelheid,5)),E19*1000/60/VerzetMinM,E19*1000/60/VLOOKUP(E19,VerzetIfvSnelheid,5))</f>
        <v>76.92307692307692</v>
      </c>
      <c r="J19" s="214">
        <f>(Opp*Rho*(Gpers/75)^0.7*0.5*(E19/3.6)*(Vwind+E19/3.6)^2+(Cr+D19)*9.81*Gtot*E19/3.6)/Cf</f>
        <v>217.48035127530437</v>
      </c>
      <c r="K19" s="214">
        <f>J19*F19*60/1000</f>
        <v>43.49607025506087</v>
      </c>
      <c r="L19" s="248">
        <f>IF(G19=0,0,B19/G19*60)</f>
        <v>18.000000000000004</v>
      </c>
      <c r="N19" s="208">
        <f>O19</f>
        <v>1</v>
      </c>
      <c r="O19" s="209">
        <f aca="true" t="shared" si="5" ref="O19:O47">IF(ISBLANK(HLOOKUP(N$17,Cols,ROW()+2-ROW(N$17),FALSE)),IF(ISBLANK(HLOOKUP(N$17,Cols,ROW()+1-ROW(N$17),FALSE)),0,O$49),1)</f>
        <v>1</v>
      </c>
      <c r="P19" s="210">
        <f aca="true" t="shared" si="6" ref="P19:P37">HLOOKUP(N$17,Cols,ROW()+1-ROW(N$17),FALSE)</f>
        <v>0.045</v>
      </c>
      <c r="Q19" s="211">
        <f aca="true" t="shared" si="7" ref="Q19:Q40">IF(O19&gt;0,IF(VLOOKUP(P19,VlookupSnelheid,2)&gt;VmaxKlim,VmaxKlim,VLOOKUP(P19,VlookupSnelheid,2)),0)</f>
        <v>16</v>
      </c>
      <c r="R19" s="212">
        <f aca="true" t="shared" si="8" ref="R19:R40">IF(O19&gt;0,O19/Q19*60,0)</f>
        <v>3.75</v>
      </c>
      <c r="S19" s="213">
        <f>R19</f>
        <v>3.75</v>
      </c>
      <c r="T19" s="211" t="str">
        <f aca="true" t="shared" si="9" ref="T19:T40">IF(O19&gt;0,IF(ISNA(VLOOKUP(Q19,VerzetIfvSnelheid,4)),VerzetMin,VLOOKUP(Q19,VerzetIfvSnelheid,4)),0)</f>
        <v>39/23</v>
      </c>
      <c r="U19" s="213">
        <f>IF(ISNA(VLOOKUP(Q19,VerzetIfvSnelheid,5)),Q19*1000/60/VerzetMinM,Q19*1000/60/VLOOKUP(Q19,VerzetIfvSnelheid,5))</f>
        <v>74.8880748880749</v>
      </c>
      <c r="V19" s="214">
        <f>(Opp*Rho*(Gpers/75)^0.7*0.5*(Q19/3.6)*(Vwind+Q19/3.6)^2+(Cr+P19)*9.81*Gtot*Q19/3.6)/Cf</f>
        <v>227.00448553939503</v>
      </c>
      <c r="W19" s="214">
        <f>V19*R19*60/1000</f>
        <v>51.07600924636389</v>
      </c>
      <c r="X19" s="248">
        <f>IF(S19=0,0,N19/S19*60)</f>
        <v>16</v>
      </c>
      <c r="Z19" s="208">
        <f>AA19</f>
        <v>1</v>
      </c>
      <c r="AA19" s="209">
        <f aca="true" t="shared" si="10" ref="AA19:AA47">IF(ISBLANK(HLOOKUP(Z$17,Cols,ROW()+2-ROW(Z$17),FALSE)),IF(ISBLANK(HLOOKUP(Z$17,Cols,ROW()+1-ROW(Z$17),FALSE)),0,AA$49),1)</f>
        <v>1</v>
      </c>
      <c r="AB19" s="210">
        <f aca="true" t="shared" si="11" ref="AB19:AB37">HLOOKUP(Z$17,Cols,ROW()+1-ROW(Z$17),FALSE)</f>
        <v>-0.05</v>
      </c>
      <c r="AC19" s="211">
        <f aca="true" t="shared" si="12" ref="AC19:AC40">IF(AA19&gt;0,IF(VLOOKUP(AB19,VlookupSnelheid,2)&gt;VmaxKlim,VmaxKlim,VLOOKUP(AB19,VlookupSnelheid,2)),0)</f>
        <v>42</v>
      </c>
      <c r="AD19" s="212">
        <f aca="true" t="shared" si="13" ref="AD19:AD40">IF(AA19&gt;0,AA19/AC19*60,0)</f>
        <v>1.4285714285714284</v>
      </c>
      <c r="AE19" s="213">
        <f>AD19</f>
        <v>1.4285714285714284</v>
      </c>
      <c r="AF19" s="211" t="str">
        <f aca="true" t="shared" si="14" ref="AF19:AF40">IF(AA19&gt;0,IF(ISNA(VLOOKUP(AC19,VerzetIfvSnelheid,4)),VerzetMin,VLOOKUP(AC19,VerzetIfvSnelheid,4)),0)</f>
        <v>50/16</v>
      </c>
      <c r="AG19" s="213">
        <f>IF(ISNA(VLOOKUP(AC19,VerzetIfvSnelheid,5)),AC19*1000/60/VerzetMinM,AC19*1000/60/VLOOKUP(AC19,VerzetIfvSnelheid,5))</f>
        <v>106.66666666666667</v>
      </c>
      <c r="AH19" s="214">
        <f>(Opp*Rho*(Gpers/75)^0.7*0.5*(AC19/3.6)*(Vwind+AC19/3.6)^2+(Cr+AB19)*9.81*Gtot*AC19/3.6)/Cf</f>
        <v>-51.8608981263967</v>
      </c>
      <c r="AI19" s="214">
        <f>AH19*AD19*60/1000</f>
        <v>-4.44521983940543</v>
      </c>
      <c r="AJ19" s="248">
        <f>IF(AE19=0,0,Z19/AE19*60)</f>
        <v>42.00000000000001</v>
      </c>
    </row>
    <row r="20" spans="2:36" ht="12.75">
      <c r="B20" s="208">
        <f aca="true" t="shared" si="15" ref="B20:B39">IF(C20&gt;0,B19+C20,0)</f>
        <v>2</v>
      </c>
      <c r="C20" s="209">
        <f t="shared" si="0"/>
        <v>1</v>
      </c>
      <c r="D20" s="210">
        <f t="shared" si="1"/>
        <v>0.025</v>
      </c>
      <c r="E20" s="211">
        <f t="shared" si="2"/>
        <v>22</v>
      </c>
      <c r="F20" s="212">
        <f t="shared" si="3"/>
        <v>2.7272727272727275</v>
      </c>
      <c r="G20" s="217">
        <f aca="true" t="shared" si="16" ref="G20:G44">IF(C20&gt;0,G19+F20,0)</f>
        <v>6.0606060606060606</v>
      </c>
      <c r="H20" s="211" t="str">
        <f t="shared" si="4"/>
        <v>50/21</v>
      </c>
      <c r="I20" s="213">
        <f aca="true" t="shared" si="17" ref="I20:I47">IF(ISNA(VLOOKUP(E20,VerzetIfvSnelheid,5)),E20*1000/60/VerzetMinM,E20*1000/60/VLOOKUP(E20,VerzetIfvSnelheid,5))</f>
        <v>73.33333333333334</v>
      </c>
      <c r="J20" s="214">
        <f aca="true" t="shared" si="18" ref="J20:J46">(Opp*Rho*(Gpers/75)^0.7*0.5*(E20/3.6)*(Vwind+E20/3.6)^2+(Cr+D20)*9.81*Gtot*E20/3.6)/Cf</f>
        <v>230.24156114368435</v>
      </c>
      <c r="K20" s="214">
        <f aca="true" t="shared" si="19" ref="K20:K46">J20*F20*60/1000</f>
        <v>37.67589182351198</v>
      </c>
      <c r="L20" s="248">
        <f aca="true" t="shared" si="20" ref="L20:L40">IF(G20=0,L19,B20/G20*60)</f>
        <v>19.8</v>
      </c>
      <c r="N20" s="208">
        <f aca="true" t="shared" si="21" ref="N20:N39">IF(O20&gt;0,N19+O20,0)</f>
        <v>2</v>
      </c>
      <c r="O20" s="209">
        <f t="shared" si="5"/>
        <v>1</v>
      </c>
      <c r="P20" s="210">
        <f t="shared" si="6"/>
        <v>0.045</v>
      </c>
      <c r="Q20" s="211">
        <f t="shared" si="7"/>
        <v>16</v>
      </c>
      <c r="R20" s="212">
        <f t="shared" si="8"/>
        <v>3.75</v>
      </c>
      <c r="S20" s="217">
        <f aca="true" t="shared" si="22" ref="S20:S44">IF(O20&gt;0,S19+R20,0)</f>
        <v>7.5</v>
      </c>
      <c r="T20" s="211" t="str">
        <f t="shared" si="9"/>
        <v>39/23</v>
      </c>
      <c r="U20" s="213">
        <f aca="true" t="shared" si="23" ref="U20:U37">IF(ISNA(VLOOKUP(Q20,VerzetIfvSnelheid,5)),Q20*1000/60/VerzetMinM,Q20*1000/60/VLOOKUP(Q20,VerzetIfvSnelheid,5))</f>
        <v>74.8880748880749</v>
      </c>
      <c r="V20" s="214">
        <f aca="true" t="shared" si="24" ref="V20:V37">(Opp*Rho*(Gpers/75)^0.7*0.5*(Q20/3.6)*(Vwind+Q20/3.6)^2+(Cr+P20)*9.81*Gtot*Q20/3.6)/Cf</f>
        <v>227.00448553939503</v>
      </c>
      <c r="W20" s="214">
        <f aca="true" t="shared" si="25" ref="W20:W37">V20*R20*60/1000</f>
        <v>51.07600924636389</v>
      </c>
      <c r="X20" s="248">
        <f aca="true" t="shared" si="26" ref="X20:X40">IF(S20=0,X19,N20/S20*60)</f>
        <v>16</v>
      </c>
      <c r="Z20" s="208">
        <f aca="true" t="shared" si="27" ref="Z20:Z39">IF(AA20&gt;0,Z19+AA20,0)</f>
        <v>2</v>
      </c>
      <c r="AA20" s="209">
        <f t="shared" si="10"/>
        <v>1</v>
      </c>
      <c r="AB20" s="210">
        <f t="shared" si="11"/>
        <v>0.0001</v>
      </c>
      <c r="AC20" s="211">
        <f t="shared" si="12"/>
        <v>30</v>
      </c>
      <c r="AD20" s="212">
        <f t="shared" si="13"/>
        <v>2</v>
      </c>
      <c r="AE20" s="217">
        <f aca="true" t="shared" si="28" ref="AE20:AE44">IF(AA20&gt;0,AE19+AD20,0)</f>
        <v>3.4285714285714284</v>
      </c>
      <c r="AF20" s="211" t="str">
        <f t="shared" si="14"/>
        <v>50/16</v>
      </c>
      <c r="AG20" s="213">
        <f aca="true" t="shared" si="29" ref="AG20:AG37">IF(ISNA(VLOOKUP(AC20,VerzetIfvSnelheid,5)),AC20*1000/60/VerzetMinM,AC20*1000/60/VLOOKUP(AC20,VerzetIfvSnelheid,5))</f>
        <v>76.19047619047619</v>
      </c>
      <c r="AH20" s="214">
        <f aca="true" t="shared" si="30" ref="AH20:AH37">(Opp*Rho*(Gpers/75)^0.7*0.5*(AC20/3.6)*(Vwind+AC20/3.6)^2+(Cr+AB20)*9.81*Gtot*AC20/3.6)/Cf</f>
        <v>196.00247812640913</v>
      </c>
      <c r="AI20" s="214">
        <f aca="true" t="shared" si="31" ref="AI20:AI37">AH20*AD20*60/1000</f>
        <v>23.520297375169097</v>
      </c>
      <c r="AJ20" s="248">
        <f aca="true" t="shared" si="32" ref="AJ20:AJ40">IF(AE20=0,AJ19,Z20/AE20*60)</f>
        <v>35</v>
      </c>
    </row>
    <row r="21" spans="2:36" ht="12.75">
      <c r="B21" s="208">
        <f t="shared" si="15"/>
        <v>3</v>
      </c>
      <c r="C21" s="209">
        <f t="shared" si="0"/>
        <v>1</v>
      </c>
      <c r="D21" s="210">
        <f t="shared" si="1"/>
        <v>0.05</v>
      </c>
      <c r="E21" s="211">
        <f t="shared" si="2"/>
        <v>14</v>
      </c>
      <c r="F21" s="212">
        <f t="shared" si="3"/>
        <v>4.285714285714286</v>
      </c>
      <c r="G21" s="217">
        <f t="shared" si="16"/>
        <v>10.346320346320347</v>
      </c>
      <c r="H21" s="211" t="str">
        <f t="shared" si="4"/>
        <v>39/25</v>
      </c>
      <c r="I21" s="213">
        <f t="shared" si="17"/>
        <v>71.22507122507122</v>
      </c>
      <c r="J21" s="214">
        <f t="shared" si="18"/>
        <v>211.43365874385668</v>
      </c>
      <c r="K21" s="214">
        <f t="shared" si="19"/>
        <v>54.36865510556314</v>
      </c>
      <c r="L21" s="248">
        <f t="shared" si="20"/>
        <v>17.397489539748953</v>
      </c>
      <c r="N21" s="208">
        <f t="shared" si="21"/>
        <v>3</v>
      </c>
      <c r="O21" s="209">
        <f t="shared" si="5"/>
        <v>1</v>
      </c>
      <c r="P21" s="210">
        <f t="shared" si="6"/>
        <v>0.095</v>
      </c>
      <c r="Q21" s="211">
        <f t="shared" si="7"/>
        <v>8</v>
      </c>
      <c r="R21" s="212">
        <f t="shared" si="8"/>
        <v>7.5</v>
      </c>
      <c r="S21" s="217">
        <f t="shared" si="22"/>
        <v>15</v>
      </c>
      <c r="T21" s="211" t="str">
        <f t="shared" si="9"/>
        <v>30/29</v>
      </c>
      <c r="U21" s="213">
        <f t="shared" si="23"/>
        <v>61.37566137566137</v>
      </c>
      <c r="V21" s="214">
        <f t="shared" si="24"/>
        <v>204.01471858716124</v>
      </c>
      <c r="W21" s="214">
        <f t="shared" si="25"/>
        <v>91.80662336422257</v>
      </c>
      <c r="X21" s="248">
        <f t="shared" si="26"/>
        <v>12</v>
      </c>
      <c r="Z21" s="208">
        <f t="shared" si="27"/>
        <v>3</v>
      </c>
      <c r="AA21" s="209">
        <f t="shared" si="10"/>
        <v>1</v>
      </c>
      <c r="AB21" s="210">
        <f t="shared" si="11"/>
        <v>0.035</v>
      </c>
      <c r="AC21" s="211">
        <f t="shared" si="12"/>
        <v>18</v>
      </c>
      <c r="AD21" s="212">
        <f t="shared" si="13"/>
        <v>3.333333333333333</v>
      </c>
      <c r="AE21" s="217">
        <f t="shared" si="28"/>
        <v>6.761904761904761</v>
      </c>
      <c r="AF21" s="211" t="str">
        <f t="shared" si="14"/>
        <v>39/21</v>
      </c>
      <c r="AG21" s="213">
        <f t="shared" si="29"/>
        <v>76.92307692307692</v>
      </c>
      <c r="AH21" s="214">
        <f t="shared" si="30"/>
        <v>217.48035127530437</v>
      </c>
      <c r="AI21" s="214">
        <f t="shared" si="31"/>
        <v>43.49607025506087</v>
      </c>
      <c r="AJ21" s="248">
        <f t="shared" si="32"/>
        <v>26.61971830985916</v>
      </c>
    </row>
    <row r="22" spans="2:36" ht="12.75">
      <c r="B22" s="208">
        <f t="shared" si="15"/>
        <v>4</v>
      </c>
      <c r="C22" s="209">
        <f t="shared" si="0"/>
        <v>1</v>
      </c>
      <c r="D22" s="210">
        <f t="shared" si="1"/>
        <v>0.055</v>
      </c>
      <c r="E22" s="211">
        <f t="shared" si="2"/>
        <v>14</v>
      </c>
      <c r="F22" s="212">
        <f t="shared" si="3"/>
        <v>4.285714285714286</v>
      </c>
      <c r="G22" s="217">
        <f t="shared" si="16"/>
        <v>14.632034632034632</v>
      </c>
      <c r="H22" s="211" t="str">
        <f t="shared" si="4"/>
        <v>39/25</v>
      </c>
      <c r="I22" s="213">
        <f t="shared" si="17"/>
        <v>71.22507122507122</v>
      </c>
      <c r="J22" s="214">
        <f t="shared" si="18"/>
        <v>228.70155348069875</v>
      </c>
      <c r="K22" s="214">
        <f t="shared" si="19"/>
        <v>58.808970895036815</v>
      </c>
      <c r="L22" s="248">
        <f t="shared" si="20"/>
        <v>16.40236686390533</v>
      </c>
      <c r="N22" s="208">
        <f t="shared" si="21"/>
        <v>4</v>
      </c>
      <c r="O22" s="209">
        <f t="shared" si="5"/>
        <v>1</v>
      </c>
      <c r="P22" s="210">
        <f t="shared" si="6"/>
        <v>0.08</v>
      </c>
      <c r="Q22" s="211">
        <f t="shared" si="7"/>
        <v>9</v>
      </c>
      <c r="R22" s="212">
        <f t="shared" si="8"/>
        <v>6.666666666666666</v>
      </c>
      <c r="S22" s="217">
        <f t="shared" si="22"/>
        <v>21.666666666666664</v>
      </c>
      <c r="T22" s="211" t="str">
        <f t="shared" si="9"/>
        <v>30/29</v>
      </c>
      <c r="U22" s="213">
        <f t="shared" si="23"/>
        <v>69.04761904761904</v>
      </c>
      <c r="V22" s="214">
        <f t="shared" si="24"/>
        <v>197.0271228567815</v>
      </c>
      <c r="W22" s="214">
        <f t="shared" si="25"/>
        <v>78.81084914271258</v>
      </c>
      <c r="X22" s="248">
        <f t="shared" si="26"/>
        <v>11.076923076923077</v>
      </c>
      <c r="Z22" s="208">
        <f t="shared" si="27"/>
        <v>4</v>
      </c>
      <c r="AA22" s="209">
        <f t="shared" si="10"/>
        <v>1</v>
      </c>
      <c r="AB22" s="210">
        <f t="shared" si="11"/>
        <v>0.06</v>
      </c>
      <c r="AC22" s="211">
        <f t="shared" si="12"/>
        <v>14</v>
      </c>
      <c r="AD22" s="212">
        <f t="shared" si="13"/>
        <v>4.285714285714286</v>
      </c>
      <c r="AE22" s="217">
        <f t="shared" si="28"/>
        <v>11.047619047619047</v>
      </c>
      <c r="AF22" s="211" t="str">
        <f t="shared" si="14"/>
        <v>39/25</v>
      </c>
      <c r="AG22" s="213">
        <f t="shared" si="29"/>
        <v>71.22507122507122</v>
      </c>
      <c r="AH22" s="214">
        <f t="shared" si="30"/>
        <v>245.9694482175409</v>
      </c>
      <c r="AI22" s="214">
        <f t="shared" si="31"/>
        <v>63.249286684510515</v>
      </c>
      <c r="AJ22" s="248">
        <f t="shared" si="32"/>
        <v>21.724137931034484</v>
      </c>
    </row>
    <row r="23" spans="2:36" ht="12.75">
      <c r="B23" s="208">
        <f t="shared" si="15"/>
        <v>5</v>
      </c>
      <c r="C23" s="209">
        <f t="shared" si="0"/>
        <v>1</v>
      </c>
      <c r="D23" s="210">
        <f t="shared" si="1"/>
        <v>0.05</v>
      </c>
      <c r="E23" s="211">
        <f t="shared" si="2"/>
        <v>14</v>
      </c>
      <c r="F23" s="212">
        <f t="shared" si="3"/>
        <v>4.285714285714286</v>
      </c>
      <c r="G23" s="217">
        <f t="shared" si="16"/>
        <v>18.917748917748916</v>
      </c>
      <c r="H23" s="211" t="str">
        <f t="shared" si="4"/>
        <v>39/25</v>
      </c>
      <c r="I23" s="213">
        <f t="shared" si="17"/>
        <v>71.22507122507122</v>
      </c>
      <c r="J23" s="214">
        <f t="shared" si="18"/>
        <v>211.43365874385668</v>
      </c>
      <c r="K23" s="214">
        <f t="shared" si="19"/>
        <v>54.36865510556314</v>
      </c>
      <c r="L23" s="248">
        <f t="shared" si="20"/>
        <v>15.858123569794053</v>
      </c>
      <c r="N23" s="208">
        <f t="shared" si="21"/>
        <v>5</v>
      </c>
      <c r="O23" s="209">
        <f t="shared" si="5"/>
        <v>1</v>
      </c>
      <c r="P23" s="210">
        <f t="shared" si="6"/>
        <v>0.075</v>
      </c>
      <c r="Q23" s="211">
        <f t="shared" si="7"/>
        <v>10</v>
      </c>
      <c r="R23" s="212">
        <f t="shared" si="8"/>
        <v>6</v>
      </c>
      <c r="S23" s="217">
        <f t="shared" si="22"/>
        <v>27.666666666666664</v>
      </c>
      <c r="T23" s="211" t="str">
        <f t="shared" si="9"/>
        <v>30/29</v>
      </c>
      <c r="U23" s="213">
        <f t="shared" si="23"/>
        <v>76.71957671957671</v>
      </c>
      <c r="V23" s="214">
        <f t="shared" si="24"/>
        <v>207.59433934581241</v>
      </c>
      <c r="W23" s="214">
        <f t="shared" si="25"/>
        <v>74.73396216449248</v>
      </c>
      <c r="X23" s="248">
        <f t="shared" si="26"/>
        <v>10.843373493975905</v>
      </c>
      <c r="Z23" s="208">
        <f t="shared" si="27"/>
        <v>5</v>
      </c>
      <c r="AA23" s="209">
        <f t="shared" si="10"/>
        <v>1</v>
      </c>
      <c r="AB23" s="210">
        <f t="shared" si="11"/>
        <v>0.035</v>
      </c>
      <c r="AC23" s="211">
        <f t="shared" si="12"/>
        <v>18</v>
      </c>
      <c r="AD23" s="212">
        <f t="shared" si="13"/>
        <v>3.333333333333333</v>
      </c>
      <c r="AE23" s="217">
        <f t="shared" si="28"/>
        <v>14.38095238095238</v>
      </c>
      <c r="AF23" s="211" t="str">
        <f t="shared" si="14"/>
        <v>39/21</v>
      </c>
      <c r="AG23" s="213">
        <f t="shared" si="29"/>
        <v>76.92307692307692</v>
      </c>
      <c r="AH23" s="214">
        <f t="shared" si="30"/>
        <v>217.48035127530437</v>
      </c>
      <c r="AI23" s="214">
        <f t="shared" si="31"/>
        <v>43.49607025506087</v>
      </c>
      <c r="AJ23" s="248">
        <f t="shared" si="32"/>
        <v>20.860927152317885</v>
      </c>
    </row>
    <row r="24" spans="2:36" ht="12.75">
      <c r="B24" s="208">
        <f t="shared" si="15"/>
        <v>6</v>
      </c>
      <c r="C24" s="209">
        <f t="shared" si="0"/>
        <v>1</v>
      </c>
      <c r="D24" s="210">
        <f t="shared" si="1"/>
        <v>0.045</v>
      </c>
      <c r="E24" s="211">
        <f t="shared" si="2"/>
        <v>16</v>
      </c>
      <c r="F24" s="212">
        <f t="shared" si="3"/>
        <v>3.75</v>
      </c>
      <c r="G24" s="217">
        <f t="shared" si="16"/>
        <v>22.667748917748916</v>
      </c>
      <c r="H24" s="211" t="str">
        <f t="shared" si="4"/>
        <v>39/23</v>
      </c>
      <c r="I24" s="213">
        <f t="shared" si="17"/>
        <v>74.8880748880749</v>
      </c>
      <c r="J24" s="214">
        <f t="shared" si="18"/>
        <v>227.00448553939503</v>
      </c>
      <c r="K24" s="214">
        <f t="shared" si="19"/>
        <v>51.07600924636389</v>
      </c>
      <c r="L24" s="248">
        <f t="shared" si="20"/>
        <v>15.881594652661734</v>
      </c>
      <c r="N24" s="208">
        <f t="shared" si="21"/>
        <v>6</v>
      </c>
      <c r="O24" s="209">
        <f t="shared" si="5"/>
        <v>1</v>
      </c>
      <c r="P24" s="210">
        <f t="shared" si="6"/>
        <v>0.045</v>
      </c>
      <c r="Q24" s="211">
        <f t="shared" si="7"/>
        <v>16</v>
      </c>
      <c r="R24" s="212">
        <f t="shared" si="8"/>
        <v>3.75</v>
      </c>
      <c r="S24" s="217">
        <f t="shared" si="22"/>
        <v>31.416666666666664</v>
      </c>
      <c r="T24" s="211" t="str">
        <f t="shared" si="9"/>
        <v>39/23</v>
      </c>
      <c r="U24" s="213">
        <f t="shared" si="23"/>
        <v>74.8880748880749</v>
      </c>
      <c r="V24" s="214">
        <f t="shared" si="24"/>
        <v>227.00448553939503</v>
      </c>
      <c r="W24" s="214">
        <f t="shared" si="25"/>
        <v>51.07600924636389</v>
      </c>
      <c r="X24" s="248">
        <f t="shared" si="26"/>
        <v>11.458885941644564</v>
      </c>
      <c r="Z24" s="208">
        <f t="shared" si="27"/>
        <v>6</v>
      </c>
      <c r="AA24" s="209">
        <f t="shared" si="10"/>
        <v>1</v>
      </c>
      <c r="AB24" s="210">
        <f t="shared" si="11"/>
        <v>0.045</v>
      </c>
      <c r="AC24" s="211">
        <f t="shared" si="12"/>
        <v>16</v>
      </c>
      <c r="AD24" s="212">
        <f t="shared" si="13"/>
        <v>3.75</v>
      </c>
      <c r="AE24" s="217">
        <f t="shared" si="28"/>
        <v>18.13095238095238</v>
      </c>
      <c r="AF24" s="211" t="str">
        <f t="shared" si="14"/>
        <v>39/23</v>
      </c>
      <c r="AG24" s="213">
        <f t="shared" si="29"/>
        <v>74.8880748880749</v>
      </c>
      <c r="AH24" s="214">
        <f t="shared" si="30"/>
        <v>227.00448553939503</v>
      </c>
      <c r="AI24" s="214">
        <f t="shared" si="31"/>
        <v>51.07600924636389</v>
      </c>
      <c r="AJ24" s="248">
        <f t="shared" si="32"/>
        <v>19.855548260013133</v>
      </c>
    </row>
    <row r="25" spans="2:36" ht="12.75">
      <c r="B25" s="208">
        <f t="shared" si="15"/>
        <v>7</v>
      </c>
      <c r="C25" s="209">
        <f t="shared" si="0"/>
        <v>1</v>
      </c>
      <c r="D25" s="210">
        <f t="shared" si="1"/>
        <v>0.085</v>
      </c>
      <c r="E25" s="211">
        <f t="shared" si="2"/>
        <v>9</v>
      </c>
      <c r="F25" s="212">
        <f t="shared" si="3"/>
        <v>6.666666666666666</v>
      </c>
      <c r="G25" s="217">
        <f t="shared" si="16"/>
        <v>29.33441558441558</v>
      </c>
      <c r="H25" s="211" t="str">
        <f t="shared" si="4"/>
        <v>30/29</v>
      </c>
      <c r="I25" s="213">
        <f t="shared" si="17"/>
        <v>69.04761904761904</v>
      </c>
      <c r="J25" s="214">
        <f t="shared" si="18"/>
        <v>208.1279123304657</v>
      </c>
      <c r="K25" s="214">
        <f t="shared" si="19"/>
        <v>83.25116493218628</v>
      </c>
      <c r="L25" s="248">
        <f t="shared" si="20"/>
        <v>14.317653569452132</v>
      </c>
      <c r="N25" s="208">
        <f t="shared" si="21"/>
        <v>7</v>
      </c>
      <c r="O25" s="209">
        <f t="shared" si="5"/>
        <v>1</v>
      </c>
      <c r="P25" s="210">
        <f t="shared" si="6"/>
        <v>0.065</v>
      </c>
      <c r="Q25" s="211">
        <f t="shared" si="7"/>
        <v>12</v>
      </c>
      <c r="R25" s="212">
        <f t="shared" si="8"/>
        <v>5</v>
      </c>
      <c r="S25" s="217">
        <f t="shared" si="22"/>
        <v>36.416666666666664</v>
      </c>
      <c r="T25" s="211" t="str">
        <f t="shared" si="9"/>
        <v>30/23</v>
      </c>
      <c r="U25" s="213">
        <f t="shared" si="23"/>
        <v>73.01587301587301</v>
      </c>
      <c r="V25" s="214">
        <f t="shared" si="24"/>
        <v>222.31651733693235</v>
      </c>
      <c r="W25" s="214">
        <f t="shared" si="25"/>
        <v>66.69495520107971</v>
      </c>
      <c r="X25" s="248">
        <f t="shared" si="26"/>
        <v>11.533180778032039</v>
      </c>
      <c r="Z25" s="208">
        <f t="shared" si="27"/>
        <v>7</v>
      </c>
      <c r="AA25" s="209">
        <f t="shared" si="10"/>
        <v>1</v>
      </c>
      <c r="AB25" s="210">
        <f t="shared" si="11"/>
        <v>0.055</v>
      </c>
      <c r="AC25" s="211">
        <f t="shared" si="12"/>
        <v>14</v>
      </c>
      <c r="AD25" s="212">
        <f t="shared" si="13"/>
        <v>4.285714285714286</v>
      </c>
      <c r="AE25" s="217">
        <f t="shared" si="28"/>
        <v>22.416666666666664</v>
      </c>
      <c r="AF25" s="211" t="str">
        <f t="shared" si="14"/>
        <v>39/25</v>
      </c>
      <c r="AG25" s="213">
        <f t="shared" si="29"/>
        <v>71.22507122507122</v>
      </c>
      <c r="AH25" s="214">
        <f t="shared" si="30"/>
        <v>228.70155348069875</v>
      </c>
      <c r="AI25" s="214">
        <f t="shared" si="31"/>
        <v>58.808970895036815</v>
      </c>
      <c r="AJ25" s="248">
        <f t="shared" si="32"/>
        <v>18.736059479553905</v>
      </c>
    </row>
    <row r="26" spans="2:36" ht="12.75">
      <c r="B26" s="208">
        <f t="shared" si="15"/>
        <v>8</v>
      </c>
      <c r="C26" s="209">
        <f t="shared" si="0"/>
        <v>1</v>
      </c>
      <c r="D26" s="210">
        <f t="shared" si="1"/>
        <v>0.1</v>
      </c>
      <c r="E26" s="211">
        <f t="shared" si="2"/>
        <v>7</v>
      </c>
      <c r="F26" s="212">
        <f t="shared" si="3"/>
        <v>8.571428571428571</v>
      </c>
      <c r="G26" s="217">
        <f t="shared" si="16"/>
        <v>37.90584415584415</v>
      </c>
      <c r="H26" s="211" t="str">
        <f t="shared" si="4"/>
        <v>30/29</v>
      </c>
      <c r="I26" s="213">
        <f t="shared" si="17"/>
        <v>53.7037037037037</v>
      </c>
      <c r="J26" s="214">
        <f t="shared" si="18"/>
        <v>186.58893102719264</v>
      </c>
      <c r="K26" s="214">
        <f t="shared" si="19"/>
        <v>95.96002167112765</v>
      </c>
      <c r="L26" s="248">
        <f t="shared" si="20"/>
        <v>12.662955032119916</v>
      </c>
      <c r="N26" s="208">
        <f t="shared" si="21"/>
        <v>8</v>
      </c>
      <c r="O26" s="209">
        <f t="shared" si="5"/>
        <v>1</v>
      </c>
      <c r="P26" s="210">
        <f t="shared" si="6"/>
        <v>0.07</v>
      </c>
      <c r="Q26" s="211">
        <f t="shared" si="7"/>
        <v>10</v>
      </c>
      <c r="R26" s="212">
        <f t="shared" si="8"/>
        <v>6</v>
      </c>
      <c r="S26" s="217">
        <f t="shared" si="22"/>
        <v>42.416666666666664</v>
      </c>
      <c r="T26" s="211" t="str">
        <f t="shared" si="9"/>
        <v>30/29</v>
      </c>
      <c r="U26" s="213">
        <f t="shared" si="23"/>
        <v>76.71957671957671</v>
      </c>
      <c r="V26" s="214">
        <f t="shared" si="24"/>
        <v>195.26012881949666</v>
      </c>
      <c r="W26" s="214">
        <f t="shared" si="25"/>
        <v>70.2936463750188</v>
      </c>
      <c r="X26" s="248">
        <f t="shared" si="26"/>
        <v>11.31630648330059</v>
      </c>
      <c r="Z26" s="208">
        <f t="shared" si="27"/>
        <v>8</v>
      </c>
      <c r="AA26" s="209">
        <f t="shared" si="10"/>
        <v>1</v>
      </c>
      <c r="AB26" s="210">
        <f t="shared" si="11"/>
        <v>0.06</v>
      </c>
      <c r="AC26" s="211">
        <f t="shared" si="12"/>
        <v>14</v>
      </c>
      <c r="AD26" s="212">
        <f t="shared" si="13"/>
        <v>4.285714285714286</v>
      </c>
      <c r="AE26" s="217">
        <f t="shared" si="28"/>
        <v>26.70238095238095</v>
      </c>
      <c r="AF26" s="211" t="str">
        <f t="shared" si="14"/>
        <v>39/25</v>
      </c>
      <c r="AG26" s="213">
        <f t="shared" si="29"/>
        <v>71.22507122507122</v>
      </c>
      <c r="AH26" s="214">
        <f t="shared" si="30"/>
        <v>245.9694482175409</v>
      </c>
      <c r="AI26" s="214">
        <f t="shared" si="31"/>
        <v>63.249286684510515</v>
      </c>
      <c r="AJ26" s="248">
        <f t="shared" si="32"/>
        <v>17.975925100312082</v>
      </c>
    </row>
    <row r="27" spans="2:36" ht="12.75">
      <c r="B27" s="208">
        <f t="shared" si="15"/>
        <v>9</v>
      </c>
      <c r="C27" s="209">
        <f t="shared" si="0"/>
        <v>1</v>
      </c>
      <c r="D27" s="210">
        <f t="shared" si="1"/>
        <v>0.105</v>
      </c>
      <c r="E27" s="211">
        <f t="shared" si="2"/>
        <v>7</v>
      </c>
      <c r="F27" s="212">
        <f t="shared" si="3"/>
        <v>8.571428571428571</v>
      </c>
      <c r="G27" s="217">
        <f t="shared" si="16"/>
        <v>46.47727272727272</v>
      </c>
      <c r="H27" s="211" t="str">
        <f t="shared" si="4"/>
        <v>30/29</v>
      </c>
      <c r="I27" s="213">
        <f t="shared" si="17"/>
        <v>53.7037037037037</v>
      </c>
      <c r="J27" s="214">
        <f t="shared" si="18"/>
        <v>195.2228783956137</v>
      </c>
      <c r="K27" s="214">
        <f t="shared" si="19"/>
        <v>100.40033746060132</v>
      </c>
      <c r="L27" s="248">
        <f t="shared" si="20"/>
        <v>11.618581907090466</v>
      </c>
      <c r="N27" s="208">
        <f t="shared" si="21"/>
        <v>9</v>
      </c>
      <c r="O27" s="209">
        <f t="shared" si="5"/>
        <v>1</v>
      </c>
      <c r="P27" s="210">
        <f t="shared" si="6"/>
        <v>0.06</v>
      </c>
      <c r="Q27" s="211">
        <f t="shared" si="7"/>
        <v>14</v>
      </c>
      <c r="R27" s="212">
        <f t="shared" si="8"/>
        <v>4.285714285714286</v>
      </c>
      <c r="S27" s="217">
        <f t="shared" si="22"/>
        <v>46.70238095238095</v>
      </c>
      <c r="T27" s="211" t="str">
        <f t="shared" si="9"/>
        <v>39/25</v>
      </c>
      <c r="U27" s="213">
        <f t="shared" si="23"/>
        <v>71.22507122507122</v>
      </c>
      <c r="V27" s="214">
        <f t="shared" si="24"/>
        <v>245.9694482175409</v>
      </c>
      <c r="W27" s="214">
        <f t="shared" si="25"/>
        <v>63.249286684510515</v>
      </c>
      <c r="X27" s="248">
        <f t="shared" si="26"/>
        <v>11.562579658424676</v>
      </c>
      <c r="Z27" s="208">
        <f t="shared" si="27"/>
        <v>9</v>
      </c>
      <c r="AA27" s="209">
        <f t="shared" si="10"/>
        <v>1</v>
      </c>
      <c r="AB27" s="210">
        <f t="shared" si="11"/>
        <v>0.05</v>
      </c>
      <c r="AC27" s="211">
        <f t="shared" si="12"/>
        <v>14</v>
      </c>
      <c r="AD27" s="212">
        <f t="shared" si="13"/>
        <v>4.285714285714286</v>
      </c>
      <c r="AE27" s="217">
        <f t="shared" si="28"/>
        <v>30.988095238095234</v>
      </c>
      <c r="AF27" s="211" t="str">
        <f t="shared" si="14"/>
        <v>39/25</v>
      </c>
      <c r="AG27" s="213">
        <f t="shared" si="29"/>
        <v>71.22507122507122</v>
      </c>
      <c r="AH27" s="214">
        <f t="shared" si="30"/>
        <v>211.43365874385668</v>
      </c>
      <c r="AI27" s="214">
        <f t="shared" si="31"/>
        <v>54.36865510556314</v>
      </c>
      <c r="AJ27" s="248">
        <f t="shared" si="32"/>
        <v>17.42604686899731</v>
      </c>
    </row>
    <row r="28" spans="2:36" ht="12.75">
      <c r="B28" s="208">
        <f t="shared" si="15"/>
        <v>10</v>
      </c>
      <c r="C28" s="209">
        <f t="shared" si="0"/>
        <v>1</v>
      </c>
      <c r="D28" s="210">
        <f t="shared" si="1"/>
        <v>0.095</v>
      </c>
      <c r="E28" s="211">
        <f t="shared" si="2"/>
        <v>8</v>
      </c>
      <c r="F28" s="212">
        <f t="shared" si="3"/>
        <v>7.5</v>
      </c>
      <c r="G28" s="217">
        <f t="shared" si="16"/>
        <v>53.97727272727272</v>
      </c>
      <c r="H28" s="211" t="str">
        <f t="shared" si="4"/>
        <v>30/29</v>
      </c>
      <c r="I28" s="213">
        <f t="shared" si="17"/>
        <v>61.37566137566137</v>
      </c>
      <c r="J28" s="214">
        <f t="shared" si="18"/>
        <v>204.01471858716124</v>
      </c>
      <c r="K28" s="214">
        <f t="shared" si="19"/>
        <v>91.80662336422257</v>
      </c>
      <c r="L28" s="248">
        <f t="shared" si="20"/>
        <v>11.115789473684213</v>
      </c>
      <c r="N28" s="208">
        <f t="shared" si="21"/>
        <v>10</v>
      </c>
      <c r="O28" s="209">
        <f t="shared" si="5"/>
        <v>1</v>
      </c>
      <c r="P28" s="210">
        <f t="shared" si="6"/>
        <v>0.065</v>
      </c>
      <c r="Q28" s="211">
        <f t="shared" si="7"/>
        <v>12</v>
      </c>
      <c r="R28" s="212">
        <f t="shared" si="8"/>
        <v>5</v>
      </c>
      <c r="S28" s="217">
        <f t="shared" si="22"/>
        <v>51.70238095238095</v>
      </c>
      <c r="T28" s="211" t="str">
        <f t="shared" si="9"/>
        <v>30/23</v>
      </c>
      <c r="U28" s="213">
        <f t="shared" si="23"/>
        <v>73.01587301587301</v>
      </c>
      <c r="V28" s="214">
        <f t="shared" si="24"/>
        <v>222.31651733693235</v>
      </c>
      <c r="W28" s="214">
        <f t="shared" si="25"/>
        <v>66.69495520107971</v>
      </c>
      <c r="X28" s="248">
        <f t="shared" si="26"/>
        <v>11.604881418374397</v>
      </c>
      <c r="Z28" s="208">
        <f t="shared" si="27"/>
        <v>10</v>
      </c>
      <c r="AA28" s="209">
        <f t="shared" si="10"/>
        <v>1</v>
      </c>
      <c r="AB28" s="210">
        <f t="shared" si="11"/>
        <v>0.055</v>
      </c>
      <c r="AC28" s="211">
        <f t="shared" si="12"/>
        <v>14</v>
      </c>
      <c r="AD28" s="212">
        <f t="shared" si="13"/>
        <v>4.285714285714286</v>
      </c>
      <c r="AE28" s="217">
        <f t="shared" si="28"/>
        <v>35.27380952380952</v>
      </c>
      <c r="AF28" s="211" t="str">
        <f t="shared" si="14"/>
        <v>39/25</v>
      </c>
      <c r="AG28" s="213">
        <f t="shared" si="29"/>
        <v>71.22507122507122</v>
      </c>
      <c r="AH28" s="214">
        <f t="shared" si="30"/>
        <v>228.70155348069875</v>
      </c>
      <c r="AI28" s="214">
        <f t="shared" si="31"/>
        <v>58.808970895036815</v>
      </c>
      <c r="AJ28" s="248">
        <f t="shared" si="32"/>
        <v>17.009787377657783</v>
      </c>
    </row>
    <row r="29" spans="2:36" ht="12.75">
      <c r="B29" s="208">
        <f t="shared" si="15"/>
        <v>11</v>
      </c>
      <c r="C29" s="209">
        <f t="shared" si="0"/>
        <v>1</v>
      </c>
      <c r="D29" s="210">
        <f t="shared" si="1"/>
        <v>0.095</v>
      </c>
      <c r="E29" s="211">
        <f t="shared" si="2"/>
        <v>8</v>
      </c>
      <c r="F29" s="212">
        <f t="shared" si="3"/>
        <v>7.5</v>
      </c>
      <c r="G29" s="217">
        <f t="shared" si="16"/>
        <v>61.47727272727272</v>
      </c>
      <c r="H29" s="211" t="str">
        <f t="shared" si="4"/>
        <v>30/29</v>
      </c>
      <c r="I29" s="213">
        <f t="shared" si="17"/>
        <v>61.37566137566137</v>
      </c>
      <c r="J29" s="214">
        <f t="shared" si="18"/>
        <v>204.01471858716124</v>
      </c>
      <c r="K29" s="214">
        <f t="shared" si="19"/>
        <v>91.80662336422257</v>
      </c>
      <c r="L29" s="248">
        <f t="shared" si="20"/>
        <v>10.735674676524955</v>
      </c>
      <c r="N29" s="208">
        <f t="shared" si="21"/>
        <v>11</v>
      </c>
      <c r="O29" s="209">
        <f t="shared" si="5"/>
        <v>1</v>
      </c>
      <c r="P29" s="210">
        <f t="shared" si="6"/>
        <v>0.095</v>
      </c>
      <c r="Q29" s="211">
        <f t="shared" si="7"/>
        <v>8</v>
      </c>
      <c r="R29" s="212">
        <f t="shared" si="8"/>
        <v>7.5</v>
      </c>
      <c r="S29" s="217">
        <f t="shared" si="22"/>
        <v>59.20238095238095</v>
      </c>
      <c r="T29" s="211" t="str">
        <f t="shared" si="9"/>
        <v>30/29</v>
      </c>
      <c r="U29" s="213">
        <f t="shared" si="23"/>
        <v>61.37566137566137</v>
      </c>
      <c r="V29" s="214">
        <f t="shared" si="24"/>
        <v>204.01471858716124</v>
      </c>
      <c r="W29" s="214">
        <f t="shared" si="25"/>
        <v>91.80662336422257</v>
      </c>
      <c r="X29" s="248">
        <f t="shared" si="26"/>
        <v>11.148200281520209</v>
      </c>
      <c r="Z29" s="208">
        <f t="shared" si="27"/>
        <v>11</v>
      </c>
      <c r="AA29" s="209">
        <f t="shared" si="10"/>
        <v>1</v>
      </c>
      <c r="AB29" s="210">
        <f t="shared" si="11"/>
        <v>0.055</v>
      </c>
      <c r="AC29" s="211">
        <f t="shared" si="12"/>
        <v>14</v>
      </c>
      <c r="AD29" s="212">
        <f t="shared" si="13"/>
        <v>4.285714285714286</v>
      </c>
      <c r="AE29" s="217">
        <f t="shared" si="28"/>
        <v>39.5595238095238</v>
      </c>
      <c r="AF29" s="211" t="str">
        <f t="shared" si="14"/>
        <v>39/25</v>
      </c>
      <c r="AG29" s="213">
        <f t="shared" si="29"/>
        <v>71.22507122507122</v>
      </c>
      <c r="AH29" s="214">
        <f t="shared" si="30"/>
        <v>228.70155348069875</v>
      </c>
      <c r="AI29" s="214">
        <f t="shared" si="31"/>
        <v>58.808970895036815</v>
      </c>
      <c r="AJ29" s="248">
        <f t="shared" si="32"/>
        <v>16.68371953054469</v>
      </c>
    </row>
    <row r="30" spans="2:36" ht="12.75">
      <c r="B30" s="208">
        <f t="shared" si="15"/>
        <v>12</v>
      </c>
      <c r="C30" s="209">
        <f t="shared" si="0"/>
        <v>1</v>
      </c>
      <c r="D30" s="210">
        <f t="shared" si="1"/>
        <v>0.1</v>
      </c>
      <c r="E30" s="211">
        <f t="shared" si="2"/>
        <v>7</v>
      </c>
      <c r="F30" s="212">
        <f t="shared" si="3"/>
        <v>8.571428571428571</v>
      </c>
      <c r="G30" s="217">
        <f t="shared" si="16"/>
        <v>70.04870129870129</v>
      </c>
      <c r="H30" s="211" t="str">
        <f t="shared" si="4"/>
        <v>30/29</v>
      </c>
      <c r="I30" s="213">
        <f t="shared" si="17"/>
        <v>53.7037037037037</v>
      </c>
      <c r="J30" s="214">
        <f t="shared" si="18"/>
        <v>186.58893102719264</v>
      </c>
      <c r="K30" s="214">
        <f t="shared" si="19"/>
        <v>95.96002167112765</v>
      </c>
      <c r="L30" s="248">
        <f t="shared" si="20"/>
        <v>10.278563151796062</v>
      </c>
      <c r="N30" s="208">
        <f t="shared" si="21"/>
        <v>12</v>
      </c>
      <c r="O30" s="209">
        <f t="shared" si="5"/>
        <v>1</v>
      </c>
      <c r="P30" s="210">
        <f t="shared" si="6"/>
        <v>0.095</v>
      </c>
      <c r="Q30" s="211">
        <f t="shared" si="7"/>
        <v>8</v>
      </c>
      <c r="R30" s="212">
        <f t="shared" si="8"/>
        <v>7.5</v>
      </c>
      <c r="S30" s="217">
        <f t="shared" si="22"/>
        <v>66.70238095238095</v>
      </c>
      <c r="T30" s="211" t="str">
        <f t="shared" si="9"/>
        <v>30/29</v>
      </c>
      <c r="U30" s="213">
        <f t="shared" si="23"/>
        <v>61.37566137566137</v>
      </c>
      <c r="V30" s="214">
        <f t="shared" si="24"/>
        <v>204.01471858716124</v>
      </c>
      <c r="W30" s="214">
        <f t="shared" si="25"/>
        <v>91.80662336422257</v>
      </c>
      <c r="X30" s="248">
        <f t="shared" si="26"/>
        <v>10.794217383544531</v>
      </c>
      <c r="Z30" s="208">
        <f t="shared" si="27"/>
        <v>12</v>
      </c>
      <c r="AA30" s="209">
        <f t="shared" si="10"/>
        <v>1</v>
      </c>
      <c r="AB30" s="210">
        <f t="shared" si="11"/>
        <v>0.06</v>
      </c>
      <c r="AC30" s="211">
        <f t="shared" si="12"/>
        <v>14</v>
      </c>
      <c r="AD30" s="212">
        <f t="shared" si="13"/>
        <v>4.285714285714286</v>
      </c>
      <c r="AE30" s="217">
        <f t="shared" si="28"/>
        <v>43.84523809523809</v>
      </c>
      <c r="AF30" s="211" t="str">
        <f t="shared" si="14"/>
        <v>39/25</v>
      </c>
      <c r="AG30" s="213">
        <f t="shared" si="29"/>
        <v>71.22507122507122</v>
      </c>
      <c r="AH30" s="214">
        <f t="shared" si="30"/>
        <v>245.9694482175409</v>
      </c>
      <c r="AI30" s="214">
        <f t="shared" si="31"/>
        <v>63.249286684510515</v>
      </c>
      <c r="AJ30" s="248">
        <f t="shared" si="32"/>
        <v>16.421395601411895</v>
      </c>
    </row>
    <row r="31" spans="2:36" ht="12.75">
      <c r="B31" s="208">
        <f t="shared" si="15"/>
        <v>13</v>
      </c>
      <c r="C31" s="209">
        <f t="shared" si="0"/>
        <v>1</v>
      </c>
      <c r="D31" s="210">
        <f t="shared" si="1"/>
        <v>0.09</v>
      </c>
      <c r="E31" s="211">
        <f t="shared" si="2"/>
        <v>8</v>
      </c>
      <c r="F31" s="212">
        <f t="shared" si="3"/>
        <v>7.5</v>
      </c>
      <c r="G31" s="217">
        <f t="shared" si="16"/>
        <v>77.54870129870129</v>
      </c>
      <c r="H31" s="211" t="str">
        <f t="shared" si="4"/>
        <v>30/29</v>
      </c>
      <c r="I31" s="213">
        <f t="shared" si="17"/>
        <v>61.37566137566137</v>
      </c>
      <c r="J31" s="214">
        <f t="shared" si="18"/>
        <v>194.14735016610862</v>
      </c>
      <c r="K31" s="214">
        <f t="shared" si="19"/>
        <v>87.36630757474889</v>
      </c>
      <c r="L31" s="248">
        <f t="shared" si="20"/>
        <v>10.058195520200965</v>
      </c>
      <c r="N31" s="208">
        <f t="shared" si="21"/>
        <v>13</v>
      </c>
      <c r="O31" s="209">
        <f t="shared" si="5"/>
        <v>1</v>
      </c>
      <c r="P31" s="210">
        <f t="shared" si="6"/>
        <v>0.095</v>
      </c>
      <c r="Q31" s="211">
        <f t="shared" si="7"/>
        <v>8</v>
      </c>
      <c r="R31" s="212">
        <f t="shared" si="8"/>
        <v>7.5</v>
      </c>
      <c r="S31" s="217">
        <f t="shared" si="22"/>
        <v>74.20238095238095</v>
      </c>
      <c r="T31" s="211" t="str">
        <f t="shared" si="9"/>
        <v>30/29</v>
      </c>
      <c r="U31" s="213">
        <f t="shared" si="23"/>
        <v>61.37566137566137</v>
      </c>
      <c r="V31" s="214">
        <f t="shared" si="24"/>
        <v>204.01471858716124</v>
      </c>
      <c r="W31" s="214">
        <f t="shared" si="25"/>
        <v>91.80662336422257</v>
      </c>
      <c r="X31" s="248">
        <f t="shared" si="26"/>
        <v>10.511792074442484</v>
      </c>
      <c r="Z31" s="208">
        <f t="shared" si="27"/>
        <v>13</v>
      </c>
      <c r="AA31" s="209">
        <f t="shared" si="10"/>
        <v>1</v>
      </c>
      <c r="AB31" s="210">
        <f t="shared" si="11"/>
        <v>0.04</v>
      </c>
      <c r="AC31" s="211">
        <f t="shared" si="12"/>
        <v>16</v>
      </c>
      <c r="AD31" s="212">
        <f t="shared" si="13"/>
        <v>3.75</v>
      </c>
      <c r="AE31" s="217">
        <f t="shared" si="28"/>
        <v>47.59523809523809</v>
      </c>
      <c r="AF31" s="211" t="str">
        <f t="shared" si="14"/>
        <v>39/23</v>
      </c>
      <c r="AG31" s="213">
        <f t="shared" si="29"/>
        <v>74.8880748880749</v>
      </c>
      <c r="AH31" s="214">
        <f t="shared" si="30"/>
        <v>207.2697486972898</v>
      </c>
      <c r="AI31" s="214">
        <f t="shared" si="31"/>
        <v>46.63569345689021</v>
      </c>
      <c r="AJ31" s="248">
        <f t="shared" si="32"/>
        <v>16.388194097048526</v>
      </c>
    </row>
    <row r="32" spans="2:36" ht="12.75">
      <c r="B32" s="208">
        <f t="shared" si="15"/>
        <v>14</v>
      </c>
      <c r="C32" s="209">
        <f t="shared" si="0"/>
        <v>1</v>
      </c>
      <c r="D32" s="210">
        <f t="shared" si="1"/>
        <v>0.09</v>
      </c>
      <c r="E32" s="211">
        <f t="shared" si="2"/>
        <v>8</v>
      </c>
      <c r="F32" s="212">
        <f t="shared" si="3"/>
        <v>7.5</v>
      </c>
      <c r="G32" s="217">
        <f t="shared" si="16"/>
        <v>85.04870129870129</v>
      </c>
      <c r="H32" s="211" t="str">
        <f t="shared" si="4"/>
        <v>30/29</v>
      </c>
      <c r="I32" s="213">
        <f t="shared" si="17"/>
        <v>61.37566137566137</v>
      </c>
      <c r="J32" s="214">
        <f t="shared" si="18"/>
        <v>194.14735016610862</v>
      </c>
      <c r="K32" s="214">
        <f t="shared" si="19"/>
        <v>87.36630757474889</v>
      </c>
      <c r="L32" s="248">
        <f t="shared" si="20"/>
        <v>9.8766940255774</v>
      </c>
      <c r="N32" s="208">
        <f t="shared" si="21"/>
        <v>14</v>
      </c>
      <c r="O32" s="209">
        <f t="shared" si="5"/>
        <v>1</v>
      </c>
      <c r="P32" s="210">
        <f t="shared" si="6"/>
        <v>0.095</v>
      </c>
      <c r="Q32" s="211">
        <f t="shared" si="7"/>
        <v>8</v>
      </c>
      <c r="R32" s="212">
        <f t="shared" si="8"/>
        <v>7.5</v>
      </c>
      <c r="S32" s="217">
        <f t="shared" si="22"/>
        <v>81.70238095238095</v>
      </c>
      <c r="T32" s="211" t="str">
        <f t="shared" si="9"/>
        <v>30/29</v>
      </c>
      <c r="U32" s="213">
        <f t="shared" si="23"/>
        <v>61.37566137566137</v>
      </c>
      <c r="V32" s="214">
        <f t="shared" si="24"/>
        <v>204.01471858716124</v>
      </c>
      <c r="W32" s="214">
        <f t="shared" si="25"/>
        <v>91.80662336422257</v>
      </c>
      <c r="X32" s="248">
        <f t="shared" si="26"/>
        <v>10.281218126183886</v>
      </c>
      <c r="Z32" s="208">
        <f t="shared" si="27"/>
        <v>14</v>
      </c>
      <c r="AA32" s="209">
        <f t="shared" si="10"/>
        <v>1</v>
      </c>
      <c r="AB32" s="210">
        <f t="shared" si="11"/>
        <v>0.03</v>
      </c>
      <c r="AC32" s="211">
        <f t="shared" si="12"/>
        <v>18</v>
      </c>
      <c r="AD32" s="212">
        <f t="shared" si="13"/>
        <v>3.333333333333333</v>
      </c>
      <c r="AE32" s="217">
        <f t="shared" si="28"/>
        <v>50.92857142857142</v>
      </c>
      <c r="AF32" s="211" t="str">
        <f t="shared" si="14"/>
        <v>39/21</v>
      </c>
      <c r="AG32" s="213">
        <f t="shared" si="29"/>
        <v>76.92307692307692</v>
      </c>
      <c r="AH32" s="214">
        <f t="shared" si="30"/>
        <v>195.27877232793597</v>
      </c>
      <c r="AI32" s="214">
        <f t="shared" si="31"/>
        <v>39.05575446558719</v>
      </c>
      <c r="AJ32" s="248">
        <f t="shared" si="32"/>
        <v>16.493688639551195</v>
      </c>
    </row>
    <row r="33" spans="2:36" ht="12.75">
      <c r="B33" s="208">
        <f t="shared" si="15"/>
        <v>15</v>
      </c>
      <c r="C33" s="209">
        <f t="shared" si="0"/>
        <v>1</v>
      </c>
      <c r="D33" s="210">
        <f t="shared" si="1"/>
        <v>0.085</v>
      </c>
      <c r="E33" s="211">
        <f t="shared" si="2"/>
        <v>9</v>
      </c>
      <c r="F33" s="212">
        <f t="shared" si="3"/>
        <v>6.666666666666666</v>
      </c>
      <c r="G33" s="217">
        <f t="shared" si="16"/>
        <v>91.71536796536796</v>
      </c>
      <c r="H33" s="211" t="str">
        <f t="shared" si="4"/>
        <v>30/29</v>
      </c>
      <c r="I33" s="213">
        <f t="shared" si="17"/>
        <v>69.04761904761904</v>
      </c>
      <c r="J33" s="214">
        <f t="shared" si="18"/>
        <v>208.1279123304657</v>
      </c>
      <c r="K33" s="214">
        <f t="shared" si="19"/>
        <v>83.25116493218628</v>
      </c>
      <c r="L33" s="248">
        <f t="shared" si="20"/>
        <v>9.812968316714851</v>
      </c>
      <c r="N33" s="208">
        <f t="shared" si="21"/>
        <v>15</v>
      </c>
      <c r="O33" s="209">
        <f t="shared" si="5"/>
        <v>1</v>
      </c>
      <c r="P33" s="210">
        <f t="shared" si="6"/>
        <v>0.06</v>
      </c>
      <c r="Q33" s="211">
        <f t="shared" si="7"/>
        <v>14</v>
      </c>
      <c r="R33" s="212">
        <f t="shared" si="8"/>
        <v>4.285714285714286</v>
      </c>
      <c r="S33" s="217">
        <f t="shared" si="22"/>
        <v>85.98809523809524</v>
      </c>
      <c r="T33" s="211" t="str">
        <f t="shared" si="9"/>
        <v>39/25</v>
      </c>
      <c r="U33" s="213">
        <f t="shared" si="23"/>
        <v>71.22507122507122</v>
      </c>
      <c r="V33" s="214">
        <f t="shared" si="24"/>
        <v>245.9694482175409</v>
      </c>
      <c r="W33" s="214">
        <f t="shared" si="25"/>
        <v>63.249286684510515</v>
      </c>
      <c r="X33" s="248">
        <f t="shared" si="26"/>
        <v>10.466565139138861</v>
      </c>
      <c r="Z33" s="208">
        <f t="shared" si="27"/>
        <v>15</v>
      </c>
      <c r="AA33" s="209">
        <f t="shared" si="10"/>
        <v>1</v>
      </c>
      <c r="AB33" s="210">
        <f t="shared" si="11"/>
        <v>0.025</v>
      </c>
      <c r="AC33" s="211">
        <f t="shared" si="12"/>
        <v>22</v>
      </c>
      <c r="AD33" s="212">
        <f t="shared" si="13"/>
        <v>2.7272727272727275</v>
      </c>
      <c r="AE33" s="217">
        <f t="shared" si="28"/>
        <v>53.65584415584415</v>
      </c>
      <c r="AF33" s="211" t="str">
        <f t="shared" si="14"/>
        <v>50/21</v>
      </c>
      <c r="AG33" s="213">
        <f t="shared" si="29"/>
        <v>73.33333333333334</v>
      </c>
      <c r="AH33" s="214">
        <f t="shared" si="30"/>
        <v>230.24156114368435</v>
      </c>
      <c r="AI33" s="214">
        <f t="shared" si="31"/>
        <v>37.67589182351198</v>
      </c>
      <c r="AJ33" s="248">
        <f t="shared" si="32"/>
        <v>16.77356892169914</v>
      </c>
    </row>
    <row r="34" spans="2:36" ht="12.75">
      <c r="B34" s="208">
        <f t="shared" si="15"/>
        <v>16</v>
      </c>
      <c r="C34" s="209">
        <f t="shared" si="0"/>
        <v>1</v>
      </c>
      <c r="D34" s="210">
        <f t="shared" si="1"/>
        <v>0.075</v>
      </c>
      <c r="E34" s="211">
        <f t="shared" si="2"/>
        <v>10</v>
      </c>
      <c r="F34" s="212">
        <f t="shared" si="3"/>
        <v>6</v>
      </c>
      <c r="G34" s="217">
        <f t="shared" si="16"/>
        <v>97.71536796536796</v>
      </c>
      <c r="H34" s="211" t="str">
        <f t="shared" si="4"/>
        <v>30/29</v>
      </c>
      <c r="I34" s="213">
        <f t="shared" si="17"/>
        <v>76.71957671957671</v>
      </c>
      <c r="J34" s="214">
        <f t="shared" si="18"/>
        <v>207.59433934581241</v>
      </c>
      <c r="K34" s="214">
        <f t="shared" si="19"/>
        <v>74.73396216449248</v>
      </c>
      <c r="L34" s="248">
        <f t="shared" si="20"/>
        <v>9.824452591124057</v>
      </c>
      <c r="N34" s="208">
        <f t="shared" si="21"/>
        <v>16</v>
      </c>
      <c r="O34" s="209">
        <f t="shared" si="5"/>
        <v>1</v>
      </c>
      <c r="P34" s="210">
        <f t="shared" si="6"/>
        <v>0.075</v>
      </c>
      <c r="Q34" s="211">
        <f t="shared" si="7"/>
        <v>10</v>
      </c>
      <c r="R34" s="212">
        <f t="shared" si="8"/>
        <v>6</v>
      </c>
      <c r="S34" s="217">
        <f t="shared" si="22"/>
        <v>91.98809523809524</v>
      </c>
      <c r="T34" s="211" t="str">
        <f t="shared" si="9"/>
        <v>30/29</v>
      </c>
      <c r="U34" s="213">
        <f t="shared" si="23"/>
        <v>76.71957671957671</v>
      </c>
      <c r="V34" s="214">
        <f t="shared" si="24"/>
        <v>207.59433934581241</v>
      </c>
      <c r="W34" s="214">
        <f t="shared" si="25"/>
        <v>74.73396216449248</v>
      </c>
      <c r="X34" s="248">
        <f t="shared" si="26"/>
        <v>10.436133039989647</v>
      </c>
      <c r="Z34" s="208">
        <f t="shared" si="27"/>
        <v>16</v>
      </c>
      <c r="AA34" s="209">
        <f t="shared" si="10"/>
        <v>1</v>
      </c>
      <c r="AB34" s="210">
        <f t="shared" si="11"/>
        <v>0.03</v>
      </c>
      <c r="AC34" s="211">
        <f t="shared" si="12"/>
        <v>18</v>
      </c>
      <c r="AD34" s="212">
        <f t="shared" si="13"/>
        <v>3.333333333333333</v>
      </c>
      <c r="AE34" s="217">
        <f t="shared" si="28"/>
        <v>56.989177489177486</v>
      </c>
      <c r="AF34" s="211" t="str">
        <f t="shared" si="14"/>
        <v>39/21</v>
      </c>
      <c r="AG34" s="213">
        <f t="shared" si="29"/>
        <v>76.92307692307692</v>
      </c>
      <c r="AH34" s="214">
        <f t="shared" si="30"/>
        <v>195.27877232793597</v>
      </c>
      <c r="AI34" s="214">
        <f t="shared" si="31"/>
        <v>39.05575446558719</v>
      </c>
      <c r="AJ34" s="248">
        <f t="shared" si="32"/>
        <v>16.845303657563903</v>
      </c>
    </row>
    <row r="35" spans="2:36" ht="12.75">
      <c r="B35" s="208">
        <f t="shared" si="15"/>
        <v>17</v>
      </c>
      <c r="C35" s="209">
        <f t="shared" si="0"/>
        <v>1</v>
      </c>
      <c r="D35" s="210">
        <f t="shared" si="1"/>
        <v>0.06</v>
      </c>
      <c r="E35" s="211">
        <f t="shared" si="2"/>
        <v>14</v>
      </c>
      <c r="F35" s="212">
        <f t="shared" si="3"/>
        <v>4.285714285714286</v>
      </c>
      <c r="G35" s="217">
        <f t="shared" si="16"/>
        <v>102.00108225108225</v>
      </c>
      <c r="H35" s="211" t="str">
        <f t="shared" si="4"/>
        <v>39/25</v>
      </c>
      <c r="I35" s="213">
        <f t="shared" si="17"/>
        <v>71.22507122507122</v>
      </c>
      <c r="J35" s="214">
        <f t="shared" si="18"/>
        <v>245.9694482175409</v>
      </c>
      <c r="K35" s="214">
        <f t="shared" si="19"/>
        <v>63.249286684510515</v>
      </c>
      <c r="L35" s="248">
        <f t="shared" si="20"/>
        <v>9.999893898078493</v>
      </c>
      <c r="N35" s="208">
        <f t="shared" si="21"/>
        <v>17</v>
      </c>
      <c r="O35" s="209">
        <f t="shared" si="5"/>
        <v>1</v>
      </c>
      <c r="P35" s="210">
        <f t="shared" si="6"/>
        <v>0.07</v>
      </c>
      <c r="Q35" s="211">
        <f t="shared" si="7"/>
        <v>10</v>
      </c>
      <c r="R35" s="212">
        <f t="shared" si="8"/>
        <v>6</v>
      </c>
      <c r="S35" s="217">
        <f t="shared" si="22"/>
        <v>97.98809523809524</v>
      </c>
      <c r="T35" s="211" t="str">
        <f t="shared" si="9"/>
        <v>30/29</v>
      </c>
      <c r="U35" s="213">
        <f t="shared" si="23"/>
        <v>76.71957671957671</v>
      </c>
      <c r="V35" s="214">
        <f t="shared" si="24"/>
        <v>195.26012881949666</v>
      </c>
      <c r="W35" s="214">
        <f t="shared" si="25"/>
        <v>70.2936463750188</v>
      </c>
      <c r="X35" s="248">
        <f t="shared" si="26"/>
        <v>10.40942777305309</v>
      </c>
      <c r="Z35" s="208">
        <f t="shared" si="27"/>
        <v>17</v>
      </c>
      <c r="AA35" s="209">
        <f t="shared" si="10"/>
        <v>1</v>
      </c>
      <c r="AB35" s="210">
        <f t="shared" si="11"/>
        <v>0.045</v>
      </c>
      <c r="AC35" s="211">
        <f t="shared" si="12"/>
        <v>16</v>
      </c>
      <c r="AD35" s="212">
        <f t="shared" si="13"/>
        <v>3.75</v>
      </c>
      <c r="AE35" s="217">
        <f t="shared" si="28"/>
        <v>60.739177489177486</v>
      </c>
      <c r="AF35" s="211" t="str">
        <f t="shared" si="14"/>
        <v>39/23</v>
      </c>
      <c r="AG35" s="213">
        <f t="shared" si="29"/>
        <v>74.8880748880749</v>
      </c>
      <c r="AH35" s="214">
        <f t="shared" si="30"/>
        <v>227.00448553939503</v>
      </c>
      <c r="AI35" s="214">
        <f t="shared" si="31"/>
        <v>51.07600924636389</v>
      </c>
      <c r="AJ35" s="248">
        <f t="shared" si="32"/>
        <v>16.79311512214244</v>
      </c>
    </row>
    <row r="36" spans="2:36" ht="12.75">
      <c r="B36" s="208">
        <f t="shared" si="15"/>
        <v>18</v>
      </c>
      <c r="C36" s="209">
        <f t="shared" si="0"/>
        <v>1</v>
      </c>
      <c r="D36" s="210">
        <f t="shared" si="1"/>
        <v>0.08</v>
      </c>
      <c r="E36" s="211">
        <f t="shared" si="2"/>
        <v>9</v>
      </c>
      <c r="F36" s="212">
        <f t="shared" si="3"/>
        <v>6.666666666666666</v>
      </c>
      <c r="G36" s="217">
        <f t="shared" si="16"/>
        <v>108.66774891774892</v>
      </c>
      <c r="H36" s="211" t="str">
        <f t="shared" si="4"/>
        <v>30/29</v>
      </c>
      <c r="I36" s="213">
        <f t="shared" si="17"/>
        <v>69.04761904761904</v>
      </c>
      <c r="J36" s="214">
        <f t="shared" si="18"/>
        <v>197.0271228567815</v>
      </c>
      <c r="K36" s="214">
        <f t="shared" si="19"/>
        <v>78.81084914271258</v>
      </c>
      <c r="L36" s="248">
        <f t="shared" si="20"/>
        <v>9.93855132508042</v>
      </c>
      <c r="N36" s="208">
        <f t="shared" si="21"/>
        <v>18</v>
      </c>
      <c r="O36" s="209">
        <f t="shared" si="5"/>
        <v>1</v>
      </c>
      <c r="P36" s="210">
        <f t="shared" si="6"/>
        <v>0.065</v>
      </c>
      <c r="Q36" s="211">
        <f t="shared" si="7"/>
        <v>12</v>
      </c>
      <c r="R36" s="212">
        <f t="shared" si="8"/>
        <v>5</v>
      </c>
      <c r="S36" s="217">
        <f t="shared" si="22"/>
        <v>102.98809523809524</v>
      </c>
      <c r="T36" s="211" t="str">
        <f t="shared" si="9"/>
        <v>30/23</v>
      </c>
      <c r="U36" s="213">
        <f t="shared" si="23"/>
        <v>73.01587301587301</v>
      </c>
      <c r="V36" s="214">
        <f t="shared" si="24"/>
        <v>222.31651733693235</v>
      </c>
      <c r="W36" s="214">
        <f t="shared" si="25"/>
        <v>66.69495520107971</v>
      </c>
      <c r="X36" s="248">
        <f t="shared" si="26"/>
        <v>10.486648942318807</v>
      </c>
      <c r="Z36" s="208">
        <f t="shared" si="27"/>
        <v>18</v>
      </c>
      <c r="AA36" s="209">
        <f t="shared" si="10"/>
        <v>1</v>
      </c>
      <c r="AB36" s="210">
        <f t="shared" si="11"/>
        <v>0.015</v>
      </c>
      <c r="AC36" s="211">
        <f t="shared" si="12"/>
        <v>26</v>
      </c>
      <c r="AD36" s="212">
        <f t="shared" si="13"/>
        <v>2.307692307692308</v>
      </c>
      <c r="AE36" s="217">
        <f t="shared" si="28"/>
        <v>63.04686979686979</v>
      </c>
      <c r="AF36" s="211" t="str">
        <f t="shared" si="14"/>
        <v>50/17</v>
      </c>
      <c r="AG36" s="213">
        <f t="shared" si="29"/>
        <v>70.15873015873014</v>
      </c>
      <c r="AH36" s="214">
        <f t="shared" si="30"/>
        <v>234.4896957104202</v>
      </c>
      <c r="AI36" s="214">
        <f t="shared" si="31"/>
        <v>32.467804021442795</v>
      </c>
      <c r="AJ36" s="248">
        <f t="shared" si="32"/>
        <v>17.130112937876905</v>
      </c>
    </row>
    <row r="37" spans="2:36" ht="12.75">
      <c r="B37" s="208">
        <f t="shared" si="15"/>
        <v>19</v>
      </c>
      <c r="C37" s="209">
        <f t="shared" si="0"/>
        <v>1</v>
      </c>
      <c r="D37" s="210">
        <f t="shared" si="1"/>
        <v>0.07</v>
      </c>
      <c r="E37" s="211">
        <f t="shared" si="2"/>
        <v>10</v>
      </c>
      <c r="F37" s="212">
        <f t="shared" si="3"/>
        <v>6</v>
      </c>
      <c r="G37" s="217">
        <f t="shared" si="16"/>
        <v>114.66774891774892</v>
      </c>
      <c r="H37" s="211" t="str">
        <f t="shared" si="4"/>
        <v>30/29</v>
      </c>
      <c r="I37" s="213">
        <f t="shared" si="17"/>
        <v>76.71957671957671</v>
      </c>
      <c r="J37" s="215">
        <f t="shared" si="18"/>
        <v>195.26012881949666</v>
      </c>
      <c r="K37" s="215">
        <f t="shared" si="19"/>
        <v>70.2936463750188</v>
      </c>
      <c r="L37" s="248">
        <f t="shared" si="20"/>
        <v>9.941766632374732</v>
      </c>
      <c r="N37" s="208">
        <f t="shared" si="21"/>
        <v>19</v>
      </c>
      <c r="O37" s="209">
        <f t="shared" si="5"/>
        <v>1</v>
      </c>
      <c r="P37" s="210">
        <f t="shared" si="6"/>
        <v>0.095</v>
      </c>
      <c r="Q37" s="211">
        <f t="shared" si="7"/>
        <v>8</v>
      </c>
      <c r="R37" s="212">
        <f t="shared" si="8"/>
        <v>7.5</v>
      </c>
      <c r="S37" s="217">
        <f t="shared" si="22"/>
        <v>110.48809523809524</v>
      </c>
      <c r="T37" s="211" t="str">
        <f t="shared" si="9"/>
        <v>30/29</v>
      </c>
      <c r="U37" s="213">
        <f t="shared" si="23"/>
        <v>61.37566137566137</v>
      </c>
      <c r="V37" s="215">
        <f t="shared" si="24"/>
        <v>204.01471858716124</v>
      </c>
      <c r="W37" s="215">
        <f t="shared" si="25"/>
        <v>91.80662336422257</v>
      </c>
      <c r="X37" s="248">
        <f t="shared" si="26"/>
        <v>10.317853679560391</v>
      </c>
      <c r="Z37" s="208">
        <f t="shared" si="27"/>
        <v>19</v>
      </c>
      <c r="AA37" s="209">
        <f t="shared" si="10"/>
        <v>1</v>
      </c>
      <c r="AB37" s="210">
        <f t="shared" si="11"/>
        <v>0.005</v>
      </c>
      <c r="AC37" s="211">
        <f t="shared" si="12"/>
        <v>30</v>
      </c>
      <c r="AD37" s="212">
        <f t="shared" si="13"/>
        <v>2</v>
      </c>
      <c r="AE37" s="217">
        <f t="shared" si="28"/>
        <v>65.0468697968698</v>
      </c>
      <c r="AF37" s="211" t="str">
        <f t="shared" si="14"/>
        <v>50/16</v>
      </c>
      <c r="AG37" s="213">
        <f t="shared" si="29"/>
        <v>76.19047619047619</v>
      </c>
      <c r="AH37" s="215">
        <f t="shared" si="30"/>
        <v>232.26505707377754</v>
      </c>
      <c r="AI37" s="215">
        <f t="shared" si="31"/>
        <v>27.871806848853307</v>
      </c>
      <c r="AJ37" s="248">
        <f t="shared" si="32"/>
        <v>17.52582412589605</v>
      </c>
    </row>
    <row r="38" spans="2:36" ht="12.75">
      <c r="B38" s="208">
        <f t="shared" si="15"/>
        <v>20</v>
      </c>
      <c r="C38" s="209">
        <f t="shared" si="0"/>
        <v>1</v>
      </c>
      <c r="D38" s="210">
        <f>HLOOKUP(B$17,Cols,ROW()+1-ROW(B$17),FALSE)</f>
        <v>0.08</v>
      </c>
      <c r="E38" s="211">
        <f t="shared" si="2"/>
        <v>9</v>
      </c>
      <c r="F38" s="212">
        <f t="shared" si="3"/>
        <v>6.666666666666666</v>
      </c>
      <c r="G38" s="217">
        <f t="shared" si="16"/>
        <v>121.3344155844156</v>
      </c>
      <c r="H38" s="211" t="str">
        <f t="shared" si="4"/>
        <v>30/29</v>
      </c>
      <c r="I38" s="213">
        <f>IF(ISNA(VLOOKUP(E38,VerzetIfvSnelheid,5)),E38*1000/60/VerzetMinM,E38*1000/60/VLOOKUP(E38,VerzetIfvSnelheid,5))</f>
        <v>69.04761904761904</v>
      </c>
      <c r="J38" s="215">
        <f>(Opp*Rho*(Gpers/75)^0.7*0.5*(E38/3.6)*(Vwind+E38/3.6)^2+(Cr+D38)*9.81*Gtot*E38/3.6)/Cf</f>
        <v>197.0271228567815</v>
      </c>
      <c r="K38" s="215">
        <f>J38*F38*60/1000</f>
        <v>78.81084914271258</v>
      </c>
      <c r="L38" s="248">
        <f t="shared" si="20"/>
        <v>9.890021674560488</v>
      </c>
      <c r="N38" s="208">
        <f t="shared" si="21"/>
        <v>20</v>
      </c>
      <c r="O38" s="209">
        <f t="shared" si="5"/>
        <v>1</v>
      </c>
      <c r="P38" s="210">
        <f aca="true" t="shared" si="33" ref="P38:P48">HLOOKUP(N$17,Cols,ROW()+1-ROW(N$17),FALSE)</f>
        <v>0.105</v>
      </c>
      <c r="Q38" s="211">
        <f t="shared" si="7"/>
        <v>7</v>
      </c>
      <c r="R38" s="212">
        <f t="shared" si="8"/>
        <v>8.571428571428571</v>
      </c>
      <c r="S38" s="217">
        <f t="shared" si="22"/>
        <v>119.05952380952381</v>
      </c>
      <c r="T38" s="211" t="str">
        <f t="shared" si="9"/>
        <v>30/29</v>
      </c>
      <c r="U38" s="213">
        <f aca="true" t="shared" si="34" ref="U38:U48">IF(ISNA(VLOOKUP(Q38,VerzetIfvSnelheid,5)),Q38*1000/60/VerzetMinM,Q38*1000/60/VLOOKUP(Q38,VerzetIfvSnelheid,5))</f>
        <v>53.7037037037037</v>
      </c>
      <c r="V38" s="215">
        <f aca="true" t="shared" si="35" ref="V38:V48">(Opp*Rho*(Gpers/75)^0.7*0.5*(Q38/3.6)*(Vwind+Q38/3.6)^2+(Cr+P38)*9.81*Gtot*Q38/3.6)/Cf</f>
        <v>195.2228783956137</v>
      </c>
      <c r="W38" s="215">
        <f aca="true" t="shared" si="36" ref="W38:W48">V38*R38*60/1000</f>
        <v>100.40033746060132</v>
      </c>
      <c r="X38" s="248">
        <f t="shared" si="26"/>
        <v>10.078992100789922</v>
      </c>
      <c r="Z38" s="208">
        <f t="shared" si="27"/>
        <v>20</v>
      </c>
      <c r="AA38" s="209">
        <f t="shared" si="10"/>
        <v>1</v>
      </c>
      <c r="AB38" s="210">
        <f aca="true" t="shared" si="37" ref="AB38:AB48">HLOOKUP(Z$17,Cols,ROW()+1-ROW(Z$17),FALSE)</f>
        <v>0.02</v>
      </c>
      <c r="AC38" s="211">
        <f t="shared" si="12"/>
        <v>22</v>
      </c>
      <c r="AD38" s="212">
        <f t="shared" si="13"/>
        <v>2.7272727272727275</v>
      </c>
      <c r="AE38" s="217">
        <f t="shared" si="28"/>
        <v>67.77414252414253</v>
      </c>
      <c r="AF38" s="211" t="str">
        <f t="shared" si="14"/>
        <v>50/21</v>
      </c>
      <c r="AG38" s="213">
        <f aca="true" t="shared" si="38" ref="AG38:AG48">IF(ISNA(VLOOKUP(AC38,VerzetIfvSnelheid,5)),AC38*1000/60/VerzetMinM,AC38*1000/60/VLOOKUP(AC38,VerzetIfvSnelheid,5))</f>
        <v>73.33333333333334</v>
      </c>
      <c r="AH38" s="215">
        <f aca="true" t="shared" si="39" ref="AH38:AH48">(Opp*Rho*(Gpers/75)^0.7*0.5*(AC38/3.6)*(Vwind+AC38/3.6)^2+(Cr+AB38)*9.81*Gtot*AC38/3.6)/Cf</f>
        <v>203.1062979857896</v>
      </c>
      <c r="AI38" s="215">
        <f aca="true" t="shared" si="40" ref="AI38:AI48">AH38*AD38*60/1000</f>
        <v>33.235576034038296</v>
      </c>
      <c r="AJ38" s="248">
        <f t="shared" si="32"/>
        <v>17.70586768504722</v>
      </c>
    </row>
    <row r="39" spans="2:36" ht="12.75">
      <c r="B39" s="208">
        <f t="shared" si="15"/>
        <v>21</v>
      </c>
      <c r="C39" s="209">
        <f t="shared" si="0"/>
        <v>1</v>
      </c>
      <c r="D39" s="210">
        <f>HLOOKUP(B$17,Cols,ROW()+1-ROW(B$17),FALSE)</f>
        <v>0.09</v>
      </c>
      <c r="E39" s="211">
        <f t="shared" si="2"/>
        <v>8</v>
      </c>
      <c r="F39" s="212">
        <f t="shared" si="3"/>
        <v>7.5</v>
      </c>
      <c r="G39" s="217">
        <f t="shared" si="16"/>
        <v>128.83441558441558</v>
      </c>
      <c r="H39" s="211" t="str">
        <f t="shared" si="4"/>
        <v>30/29</v>
      </c>
      <c r="I39" s="213">
        <f>IF(ISNA(VLOOKUP(E39,VerzetIfvSnelheid,5)),E39*1000/60/VerzetMinM,E39*1000/60/VLOOKUP(E39,VerzetIfvSnelheid,5))</f>
        <v>61.37566137566137</v>
      </c>
      <c r="J39" s="215">
        <f>(Opp*Rho*(Gpers/75)^0.7*0.5*(E39/3.6)*(Vwind+E39/3.6)^2+(Cr+D39)*9.81*Gtot*E39/3.6)/Cf</f>
        <v>194.14735016610862</v>
      </c>
      <c r="K39" s="215">
        <f>J39*F39*60/1000</f>
        <v>87.36630757474889</v>
      </c>
      <c r="L39" s="248">
        <f t="shared" si="20"/>
        <v>9.779995463823997</v>
      </c>
      <c r="N39" s="208">
        <f t="shared" si="21"/>
        <v>21</v>
      </c>
      <c r="O39" s="209">
        <f t="shared" si="5"/>
        <v>1</v>
      </c>
      <c r="P39" s="210">
        <f t="shared" si="33"/>
        <v>0.075</v>
      </c>
      <c r="Q39" s="211">
        <f t="shared" si="7"/>
        <v>10</v>
      </c>
      <c r="R39" s="212">
        <f t="shared" si="8"/>
        <v>6</v>
      </c>
      <c r="S39" s="217">
        <f t="shared" si="22"/>
        <v>125.05952380952381</v>
      </c>
      <c r="T39" s="211" t="str">
        <f t="shared" si="9"/>
        <v>30/29</v>
      </c>
      <c r="U39" s="213">
        <f t="shared" si="34"/>
        <v>76.71957671957671</v>
      </c>
      <c r="V39" s="215">
        <f t="shared" si="35"/>
        <v>207.59433934581241</v>
      </c>
      <c r="W39" s="215">
        <f t="shared" si="36"/>
        <v>74.73396216449248</v>
      </c>
      <c r="X39" s="248">
        <f t="shared" si="26"/>
        <v>10.07520228462637</v>
      </c>
      <c r="Z39" s="208">
        <f t="shared" si="27"/>
        <v>21</v>
      </c>
      <c r="AA39" s="209">
        <f t="shared" si="10"/>
        <v>1</v>
      </c>
      <c r="AB39" s="210">
        <f t="shared" si="37"/>
        <v>0.07</v>
      </c>
      <c r="AC39" s="211">
        <f t="shared" si="12"/>
        <v>10</v>
      </c>
      <c r="AD39" s="212">
        <f t="shared" si="13"/>
        <v>6</v>
      </c>
      <c r="AE39" s="217">
        <f t="shared" si="28"/>
        <v>73.77414252414253</v>
      </c>
      <c r="AF39" s="211" t="str">
        <f t="shared" si="14"/>
        <v>30/29</v>
      </c>
      <c r="AG39" s="213">
        <f t="shared" si="38"/>
        <v>76.71957671957671</v>
      </c>
      <c r="AH39" s="215">
        <f t="shared" si="39"/>
        <v>195.26012881949666</v>
      </c>
      <c r="AI39" s="215">
        <f t="shared" si="40"/>
        <v>70.2936463750188</v>
      </c>
      <c r="AJ39" s="248">
        <f t="shared" si="32"/>
        <v>17.0791547944819</v>
      </c>
    </row>
    <row r="40" spans="2:36" ht="12.75">
      <c r="B40" s="208">
        <f>IF(C40&gt;0,B39+C40,0)</f>
        <v>21.5</v>
      </c>
      <c r="C40" s="209">
        <f t="shared" si="0"/>
        <v>0.5</v>
      </c>
      <c r="D40" s="210">
        <f>HLOOKUP(B$17,Cols,ROW()+1-ROW(B$17),FALSE)</f>
        <v>0.11</v>
      </c>
      <c r="E40" s="211">
        <f t="shared" si="2"/>
        <v>7</v>
      </c>
      <c r="F40" s="212">
        <f t="shared" si="3"/>
        <v>4.285714285714286</v>
      </c>
      <c r="G40" s="217">
        <f t="shared" si="16"/>
        <v>133.12012987012986</v>
      </c>
      <c r="H40" s="211" t="str">
        <f t="shared" si="4"/>
        <v>30/29</v>
      </c>
      <c r="I40" s="213">
        <f>IF(ISNA(VLOOKUP(E40,VerzetIfvSnelheid,5)),E40*1000/60/VerzetMinM,E40*1000/60/VLOOKUP(E40,VerzetIfvSnelheid,5))</f>
        <v>53.7037037037037</v>
      </c>
      <c r="J40" s="215">
        <f>(Opp*Rho*(Gpers/75)^0.7*0.5*(E40/3.6)*(Vwind+E40/3.6)^2+(Cr+D40)*9.81*Gtot*E40/3.6)/Cf</f>
        <v>203.85682576403474</v>
      </c>
      <c r="K40" s="215">
        <f>J40*F40*60/1000</f>
        <v>52.420326625037504</v>
      </c>
      <c r="L40" s="248">
        <f t="shared" si="20"/>
        <v>9.69049535377186</v>
      </c>
      <c r="N40" s="208">
        <f>IF(O40&gt;0,N39+O40,0)</f>
        <v>21.2</v>
      </c>
      <c r="O40" s="209">
        <f t="shared" si="5"/>
        <v>0.2</v>
      </c>
      <c r="P40" s="210">
        <f t="shared" si="33"/>
        <v>0.085</v>
      </c>
      <c r="Q40" s="211">
        <f t="shared" si="7"/>
        <v>9</v>
      </c>
      <c r="R40" s="212">
        <f t="shared" si="8"/>
        <v>1.3333333333333335</v>
      </c>
      <c r="S40" s="217">
        <f t="shared" si="22"/>
        <v>126.39285714285714</v>
      </c>
      <c r="T40" s="211" t="str">
        <f t="shared" si="9"/>
        <v>30/29</v>
      </c>
      <c r="U40" s="213">
        <f t="shared" si="34"/>
        <v>69.04761904761904</v>
      </c>
      <c r="V40" s="215">
        <f t="shared" si="35"/>
        <v>208.1279123304657</v>
      </c>
      <c r="W40" s="215">
        <f t="shared" si="36"/>
        <v>16.65023298643726</v>
      </c>
      <c r="X40" s="248">
        <f t="shared" si="26"/>
        <v>10.063859847414523</v>
      </c>
      <c r="Z40" s="208">
        <f>IF(AA40&gt;0,Z39+AA40,0)</f>
        <v>22</v>
      </c>
      <c r="AA40" s="209">
        <f t="shared" si="10"/>
        <v>1</v>
      </c>
      <c r="AB40" s="210">
        <f t="shared" si="37"/>
        <v>0.07</v>
      </c>
      <c r="AC40" s="211">
        <f t="shared" si="12"/>
        <v>10</v>
      </c>
      <c r="AD40" s="212">
        <f t="shared" si="13"/>
        <v>6</v>
      </c>
      <c r="AE40" s="217">
        <f t="shared" si="28"/>
        <v>79.77414252414253</v>
      </c>
      <c r="AF40" s="211" t="str">
        <f t="shared" si="14"/>
        <v>30/29</v>
      </c>
      <c r="AG40" s="213">
        <f t="shared" si="38"/>
        <v>76.71957671957671</v>
      </c>
      <c r="AH40" s="215">
        <f t="shared" si="39"/>
        <v>195.26012881949666</v>
      </c>
      <c r="AI40" s="215">
        <f t="shared" si="40"/>
        <v>70.2936463750188</v>
      </c>
      <c r="AJ40" s="248">
        <f t="shared" si="32"/>
        <v>16.54671499102006</v>
      </c>
    </row>
    <row r="41" spans="2:36" ht="12.75">
      <c r="B41" s="208">
        <f aca="true" t="shared" si="41" ref="B41:B48">IF(C41&gt;0,B40+C41,0)</f>
        <v>0</v>
      </c>
      <c r="C41" s="209">
        <f t="shared" si="0"/>
        <v>0</v>
      </c>
      <c r="D41" s="210">
        <f>HLOOKUP(B$17,Cols,ROW()+1-ROW(B$17),FALSE)</f>
        <v>0</v>
      </c>
      <c r="E41" s="211">
        <f>IF(C41&gt;0,IF(VLOOKUP(D41,VlookupSnelheid,2)&gt;VmaxKlim,VmaxKlim,VLOOKUP(D41,VlookupSnelheid,2)),0)</f>
        <v>0</v>
      </c>
      <c r="F41" s="212">
        <f>IF(C41&gt;0,C41/E41*60,0)</f>
        <v>0</v>
      </c>
      <c r="G41" s="217">
        <f t="shared" si="16"/>
        <v>0</v>
      </c>
      <c r="H41" s="211">
        <f>IF(C41&gt;0,IF(ISNA(VLOOKUP(E41,VerzetIfvSnelheid,4)),VerzetMin,VLOOKUP(E41,VerzetIfvSnelheid,4)),0)</f>
        <v>0</v>
      </c>
      <c r="I41" s="213">
        <f>IF(ISNA(VLOOKUP(E41,VerzetIfvSnelheid,5)),E41*1000/60/VerzetMinM,E41*1000/60/VLOOKUP(E41,VerzetIfvSnelheid,5))</f>
        <v>0</v>
      </c>
      <c r="J41" s="215">
        <f>(Opp*Rho*(Gpers/75)^0.7*0.5*(E41/3.6)*(Vwind+E41/3.6)^2+(Cr+D41)*9.81*Gtot*E41/3.6)/Cf</f>
        <v>0</v>
      </c>
      <c r="K41" s="215">
        <f>J41*F41*60/1000</f>
        <v>0</v>
      </c>
      <c r="L41" s="248">
        <f>IF(G41=0,L40,B41/G41*60)</f>
        <v>9.69049535377186</v>
      </c>
      <c r="N41" s="208">
        <f aca="true" t="shared" si="42" ref="N41:N48">IF(O41&gt;0,N40+O41,0)</f>
        <v>0</v>
      </c>
      <c r="O41" s="209">
        <f t="shared" si="5"/>
        <v>0</v>
      </c>
      <c r="P41" s="210">
        <f t="shared" si="33"/>
        <v>0</v>
      </c>
      <c r="Q41" s="211">
        <f>IF(O41&gt;0,IF(VLOOKUP(P41,VlookupSnelheid,2)&gt;VmaxKlim,VmaxKlim,VLOOKUP(P41,VlookupSnelheid,2)),0)</f>
        <v>0</v>
      </c>
      <c r="R41" s="212">
        <f>IF(O41&gt;0,O41/Q41*60,0)</f>
        <v>0</v>
      </c>
      <c r="S41" s="217">
        <f t="shared" si="22"/>
        <v>0</v>
      </c>
      <c r="T41" s="211">
        <f>IF(O41&gt;0,IF(ISNA(VLOOKUP(Q41,VerzetIfvSnelheid,4)),VerzetMin,VLOOKUP(Q41,VerzetIfvSnelheid,4)),0)</f>
        <v>0</v>
      </c>
      <c r="U41" s="213">
        <f t="shared" si="34"/>
        <v>0</v>
      </c>
      <c r="V41" s="215">
        <f t="shared" si="35"/>
        <v>0</v>
      </c>
      <c r="W41" s="215">
        <f t="shared" si="36"/>
        <v>0</v>
      </c>
      <c r="X41" s="248">
        <f>IF(S41=0,X40,N41/S41*60)</f>
        <v>10.063859847414523</v>
      </c>
      <c r="Z41" s="208">
        <f aca="true" t="shared" si="43" ref="Z41:Z48">IF(AA41&gt;0,Z40+AA41,0)</f>
        <v>23</v>
      </c>
      <c r="AA41" s="209">
        <f t="shared" si="10"/>
        <v>1</v>
      </c>
      <c r="AB41" s="210">
        <f t="shared" si="37"/>
        <v>0.075</v>
      </c>
      <c r="AC41" s="211">
        <f>IF(AA41&gt;0,IF(VLOOKUP(AB41,VlookupSnelheid,2)&gt;VmaxKlim,VmaxKlim,VLOOKUP(AB41,VlookupSnelheid,2)),0)</f>
        <v>10</v>
      </c>
      <c r="AD41" s="212">
        <f>IF(AA41&gt;0,AA41/AC41*60,0)</f>
        <v>6</v>
      </c>
      <c r="AE41" s="217">
        <f t="shared" si="28"/>
        <v>85.77414252414253</v>
      </c>
      <c r="AF41" s="211" t="str">
        <f>IF(AA41&gt;0,IF(ISNA(VLOOKUP(AC41,VerzetIfvSnelheid,4)),VerzetMin,VLOOKUP(AC41,VerzetIfvSnelheid,4)),0)</f>
        <v>30/29</v>
      </c>
      <c r="AG41" s="213">
        <f t="shared" si="38"/>
        <v>76.71957671957671</v>
      </c>
      <c r="AH41" s="215">
        <f t="shared" si="39"/>
        <v>207.59433934581241</v>
      </c>
      <c r="AI41" s="215">
        <f t="shared" si="40"/>
        <v>74.73396216449248</v>
      </c>
      <c r="AJ41" s="248">
        <f>IF(AE41=0,AJ40,Z41/AE41*60)</f>
        <v>16.08876474179356</v>
      </c>
    </row>
    <row r="42" spans="2:36" ht="12.75">
      <c r="B42" s="208">
        <f t="shared" si="41"/>
        <v>0</v>
      </c>
      <c r="C42" s="209">
        <f t="shared" si="0"/>
        <v>0</v>
      </c>
      <c r="D42" s="210">
        <f>HLOOKUP(B$17,Cols,ROW()+1-ROW(B$17),FALSE)</f>
        <v>0</v>
      </c>
      <c r="E42" s="211">
        <f aca="true" t="shared" si="44" ref="E42:E48">IF(C42&gt;0,IF(VLOOKUP(D42,VlookupSnelheid,2)&gt;VmaxKlim,VmaxKlim,VLOOKUP(D42,VlookupSnelheid,2)),0)</f>
        <v>0</v>
      </c>
      <c r="F42" s="212">
        <f aca="true" t="shared" si="45" ref="F42:F48">IF(C42&gt;0,C42/E42*60,0)</f>
        <v>0</v>
      </c>
      <c r="G42" s="217">
        <f t="shared" si="16"/>
        <v>0</v>
      </c>
      <c r="H42" s="211">
        <f aca="true" t="shared" si="46" ref="H42:H48">IF(C42&gt;0,IF(ISNA(VLOOKUP(E42,VerzetIfvSnelheid,4)),VerzetMin,VLOOKUP(E42,VerzetIfvSnelheid,4)),0)</f>
        <v>0</v>
      </c>
      <c r="I42" s="213">
        <f>IF(ISNA(VLOOKUP(E42,VerzetIfvSnelheid,5)),E42*1000/60/VerzetMinM,E42*1000/60/VLOOKUP(E42,VerzetIfvSnelheid,5))</f>
        <v>0</v>
      </c>
      <c r="J42" s="215">
        <f>(Opp*Rho*(Gpers/75)^0.7*0.5*(E42/3.6)*(Vwind+E42/3.6)^2+(Cr+D42)*9.81*Gtot*E42/3.6)/Cf</f>
        <v>0</v>
      </c>
      <c r="K42" s="215">
        <f>J42*F42*60/1000</f>
        <v>0</v>
      </c>
      <c r="L42" s="248">
        <f aca="true" t="shared" si="47" ref="L42:L48">IF(G42=0,L41,B42/G42*60)</f>
        <v>9.69049535377186</v>
      </c>
      <c r="N42" s="208">
        <f t="shared" si="42"/>
        <v>0</v>
      </c>
      <c r="O42" s="209">
        <f t="shared" si="5"/>
        <v>0</v>
      </c>
      <c r="P42" s="210">
        <f t="shared" si="33"/>
        <v>0</v>
      </c>
      <c r="Q42" s="211">
        <f aca="true" t="shared" si="48" ref="Q42:Q48">IF(O42&gt;0,IF(VLOOKUP(P42,VlookupSnelheid,2)&gt;VmaxKlim,VmaxKlim,VLOOKUP(P42,VlookupSnelheid,2)),0)</f>
        <v>0</v>
      </c>
      <c r="R42" s="212">
        <f aca="true" t="shared" si="49" ref="R42:R48">IF(O42&gt;0,O42/Q42*60,0)</f>
        <v>0</v>
      </c>
      <c r="S42" s="217">
        <f t="shared" si="22"/>
        <v>0</v>
      </c>
      <c r="T42" s="211">
        <f aca="true" t="shared" si="50" ref="T42:T48">IF(O42&gt;0,IF(ISNA(VLOOKUP(Q42,VerzetIfvSnelheid,4)),VerzetMin,VLOOKUP(Q42,VerzetIfvSnelheid,4)),0)</f>
        <v>0</v>
      </c>
      <c r="U42" s="213">
        <f t="shared" si="34"/>
        <v>0</v>
      </c>
      <c r="V42" s="215">
        <f t="shared" si="35"/>
        <v>0</v>
      </c>
      <c r="W42" s="215">
        <f t="shared" si="36"/>
        <v>0</v>
      </c>
      <c r="X42" s="248">
        <f aca="true" t="shared" si="51" ref="X42:X48">IF(S42=0,X41,N42/S42*60)</f>
        <v>10.063859847414523</v>
      </c>
      <c r="Z42" s="208">
        <f t="shared" si="43"/>
        <v>24</v>
      </c>
      <c r="AA42" s="209">
        <f t="shared" si="10"/>
        <v>1</v>
      </c>
      <c r="AB42" s="210">
        <f t="shared" si="37"/>
        <v>0.075</v>
      </c>
      <c r="AC42" s="211">
        <f aca="true" t="shared" si="52" ref="AC42:AC48">IF(AA42&gt;0,IF(VLOOKUP(AB42,VlookupSnelheid,2)&gt;VmaxKlim,VmaxKlim,VLOOKUP(AB42,VlookupSnelheid,2)),0)</f>
        <v>10</v>
      </c>
      <c r="AD42" s="212">
        <f aca="true" t="shared" si="53" ref="AD42:AD48">IF(AA42&gt;0,AA42/AC42*60,0)</f>
        <v>6</v>
      </c>
      <c r="AE42" s="217">
        <f t="shared" si="28"/>
        <v>91.77414252414253</v>
      </c>
      <c r="AF42" s="211" t="str">
        <f aca="true" t="shared" si="54" ref="AF42:AF48">IF(AA42&gt;0,IF(ISNA(VLOOKUP(AC42,VerzetIfvSnelheid,4)),VerzetMin,VLOOKUP(AC42,VerzetIfvSnelheid,4)),0)</f>
        <v>30/29</v>
      </c>
      <c r="AG42" s="213">
        <f t="shared" si="38"/>
        <v>76.71957671957671</v>
      </c>
      <c r="AH42" s="215">
        <f t="shared" si="39"/>
        <v>207.59433934581241</v>
      </c>
      <c r="AI42" s="215">
        <f t="shared" si="40"/>
        <v>74.73396216449248</v>
      </c>
      <c r="AJ42" s="248">
        <f aca="true" t="shared" si="55" ref="AJ42:AJ48">IF(AE42=0,AJ41,Z42/AE42*60)</f>
        <v>15.690694136653873</v>
      </c>
    </row>
    <row r="43" spans="2:36" ht="12.75">
      <c r="B43" s="208">
        <f t="shared" si="41"/>
        <v>0</v>
      </c>
      <c r="C43" s="209">
        <f t="shared" si="0"/>
        <v>0</v>
      </c>
      <c r="D43" s="216">
        <f t="shared" si="1"/>
        <v>0</v>
      </c>
      <c r="E43" s="211">
        <f t="shared" si="44"/>
        <v>0</v>
      </c>
      <c r="F43" s="212">
        <f t="shared" si="45"/>
        <v>0</v>
      </c>
      <c r="G43" s="217">
        <f t="shared" si="16"/>
        <v>0</v>
      </c>
      <c r="H43" s="211">
        <f t="shared" si="46"/>
        <v>0</v>
      </c>
      <c r="I43" s="213">
        <f t="shared" si="17"/>
        <v>0</v>
      </c>
      <c r="J43" s="215">
        <f t="shared" si="18"/>
        <v>0</v>
      </c>
      <c r="K43" s="215">
        <f t="shared" si="19"/>
        <v>0</v>
      </c>
      <c r="L43" s="248">
        <f t="shared" si="47"/>
        <v>9.69049535377186</v>
      </c>
      <c r="N43" s="208">
        <f t="shared" si="42"/>
        <v>0</v>
      </c>
      <c r="O43" s="209">
        <f t="shared" si="5"/>
        <v>0</v>
      </c>
      <c r="P43" s="216">
        <f t="shared" si="33"/>
        <v>0</v>
      </c>
      <c r="Q43" s="211">
        <f t="shared" si="48"/>
        <v>0</v>
      </c>
      <c r="R43" s="212">
        <f t="shared" si="49"/>
        <v>0</v>
      </c>
      <c r="S43" s="217">
        <f t="shared" si="22"/>
        <v>0</v>
      </c>
      <c r="T43" s="211">
        <f t="shared" si="50"/>
        <v>0</v>
      </c>
      <c r="U43" s="213">
        <f t="shared" si="34"/>
        <v>0</v>
      </c>
      <c r="V43" s="215">
        <f t="shared" si="35"/>
        <v>0</v>
      </c>
      <c r="W43" s="215">
        <f t="shared" si="36"/>
        <v>0</v>
      </c>
      <c r="X43" s="248">
        <f t="shared" si="51"/>
        <v>10.063859847414523</v>
      </c>
      <c r="Z43" s="208">
        <f t="shared" si="43"/>
        <v>25</v>
      </c>
      <c r="AA43" s="209">
        <f t="shared" si="10"/>
        <v>1</v>
      </c>
      <c r="AB43" s="216">
        <f t="shared" si="37"/>
        <v>0.085</v>
      </c>
      <c r="AC43" s="211">
        <f t="shared" si="52"/>
        <v>9</v>
      </c>
      <c r="AD43" s="212">
        <f t="shared" si="53"/>
        <v>6.666666666666666</v>
      </c>
      <c r="AE43" s="217">
        <f t="shared" si="28"/>
        <v>98.4408091908092</v>
      </c>
      <c r="AF43" s="211" t="str">
        <f t="shared" si="54"/>
        <v>30/29</v>
      </c>
      <c r="AG43" s="213">
        <f t="shared" si="38"/>
        <v>69.04761904761904</v>
      </c>
      <c r="AH43" s="215">
        <f t="shared" si="39"/>
        <v>208.1279123304657</v>
      </c>
      <c r="AI43" s="215">
        <f t="shared" si="40"/>
        <v>83.25116493218628</v>
      </c>
      <c r="AJ43" s="248">
        <f t="shared" si="55"/>
        <v>15.2375829935787</v>
      </c>
    </row>
    <row r="44" spans="2:36" ht="12.75">
      <c r="B44" s="208">
        <f t="shared" si="41"/>
        <v>0</v>
      </c>
      <c r="C44" s="209">
        <f t="shared" si="0"/>
        <v>0</v>
      </c>
      <c r="D44" s="216">
        <f t="shared" si="1"/>
        <v>0</v>
      </c>
      <c r="E44" s="211">
        <f t="shared" si="44"/>
        <v>0</v>
      </c>
      <c r="F44" s="212">
        <f t="shared" si="45"/>
        <v>0</v>
      </c>
      <c r="G44" s="217">
        <f t="shared" si="16"/>
        <v>0</v>
      </c>
      <c r="H44" s="211">
        <f t="shared" si="46"/>
        <v>0</v>
      </c>
      <c r="I44" s="213">
        <f t="shared" si="17"/>
        <v>0</v>
      </c>
      <c r="J44" s="215">
        <f t="shared" si="18"/>
        <v>0</v>
      </c>
      <c r="K44" s="215">
        <f t="shared" si="19"/>
        <v>0</v>
      </c>
      <c r="L44" s="248">
        <f t="shared" si="47"/>
        <v>9.69049535377186</v>
      </c>
      <c r="N44" s="208">
        <f t="shared" si="42"/>
        <v>0</v>
      </c>
      <c r="O44" s="209">
        <f t="shared" si="5"/>
        <v>0</v>
      </c>
      <c r="P44" s="216">
        <f t="shared" si="33"/>
        <v>0</v>
      </c>
      <c r="Q44" s="211">
        <f t="shared" si="48"/>
        <v>0</v>
      </c>
      <c r="R44" s="212">
        <f t="shared" si="49"/>
        <v>0</v>
      </c>
      <c r="S44" s="217">
        <f t="shared" si="22"/>
        <v>0</v>
      </c>
      <c r="T44" s="211">
        <f t="shared" si="50"/>
        <v>0</v>
      </c>
      <c r="U44" s="213">
        <f t="shared" si="34"/>
        <v>0</v>
      </c>
      <c r="V44" s="215">
        <f t="shared" si="35"/>
        <v>0</v>
      </c>
      <c r="W44" s="215">
        <f t="shared" si="36"/>
        <v>0</v>
      </c>
      <c r="X44" s="248">
        <f t="shared" si="51"/>
        <v>10.063859847414523</v>
      </c>
      <c r="Z44" s="208">
        <f t="shared" si="43"/>
        <v>26</v>
      </c>
      <c r="AA44" s="209">
        <f t="shared" si="10"/>
        <v>1</v>
      </c>
      <c r="AB44" s="216">
        <f t="shared" si="37"/>
        <v>0.095</v>
      </c>
      <c r="AC44" s="211">
        <f t="shared" si="52"/>
        <v>8</v>
      </c>
      <c r="AD44" s="212">
        <f t="shared" si="53"/>
        <v>7.5</v>
      </c>
      <c r="AE44" s="217">
        <f t="shared" si="28"/>
        <v>105.9408091908092</v>
      </c>
      <c r="AF44" s="211" t="str">
        <f t="shared" si="54"/>
        <v>30/29</v>
      </c>
      <c r="AG44" s="213">
        <f t="shared" si="38"/>
        <v>61.37566137566137</v>
      </c>
      <c r="AH44" s="215">
        <f t="shared" si="39"/>
        <v>204.01471858716124</v>
      </c>
      <c r="AI44" s="215">
        <f t="shared" si="40"/>
        <v>91.80662336422257</v>
      </c>
      <c r="AJ44" s="248">
        <f t="shared" si="55"/>
        <v>14.725203742688954</v>
      </c>
    </row>
    <row r="45" spans="2:36" ht="12.75">
      <c r="B45" s="208">
        <f t="shared" si="41"/>
        <v>0</v>
      </c>
      <c r="C45" s="209">
        <f t="shared" si="0"/>
        <v>0</v>
      </c>
      <c r="D45" s="216">
        <f t="shared" si="1"/>
        <v>0</v>
      </c>
      <c r="E45" s="211">
        <f t="shared" si="44"/>
        <v>0</v>
      </c>
      <c r="F45" s="212">
        <f t="shared" si="45"/>
        <v>0</v>
      </c>
      <c r="G45" s="217">
        <f>IF(C45&gt;0,G44+F45,0)</f>
        <v>0</v>
      </c>
      <c r="H45" s="211">
        <f t="shared" si="46"/>
        <v>0</v>
      </c>
      <c r="I45" s="213">
        <f t="shared" si="17"/>
        <v>0</v>
      </c>
      <c r="J45" s="215">
        <f t="shared" si="18"/>
        <v>0</v>
      </c>
      <c r="K45" s="215">
        <f t="shared" si="19"/>
        <v>0</v>
      </c>
      <c r="L45" s="248">
        <f t="shared" si="47"/>
        <v>9.69049535377186</v>
      </c>
      <c r="N45" s="208">
        <f t="shared" si="42"/>
        <v>0</v>
      </c>
      <c r="O45" s="209">
        <f t="shared" si="5"/>
        <v>0</v>
      </c>
      <c r="P45" s="216">
        <f t="shared" si="33"/>
        <v>0</v>
      </c>
      <c r="Q45" s="211">
        <f t="shared" si="48"/>
        <v>0</v>
      </c>
      <c r="R45" s="212">
        <f t="shared" si="49"/>
        <v>0</v>
      </c>
      <c r="S45" s="217">
        <f>IF(O45&gt;0,S44+R45,0)</f>
        <v>0</v>
      </c>
      <c r="T45" s="211">
        <f t="shared" si="50"/>
        <v>0</v>
      </c>
      <c r="U45" s="213">
        <f t="shared" si="34"/>
        <v>0</v>
      </c>
      <c r="V45" s="215">
        <f t="shared" si="35"/>
        <v>0</v>
      </c>
      <c r="W45" s="215">
        <f t="shared" si="36"/>
        <v>0</v>
      </c>
      <c r="X45" s="248">
        <f t="shared" si="51"/>
        <v>10.063859847414523</v>
      </c>
      <c r="Z45" s="208">
        <f t="shared" si="43"/>
        <v>0</v>
      </c>
      <c r="AA45" s="209">
        <f t="shared" si="10"/>
        <v>0</v>
      </c>
      <c r="AB45" s="216">
        <f t="shared" si="37"/>
        <v>0</v>
      </c>
      <c r="AC45" s="211">
        <f t="shared" si="52"/>
        <v>0</v>
      </c>
      <c r="AD45" s="212">
        <f t="shared" si="53"/>
        <v>0</v>
      </c>
      <c r="AE45" s="217">
        <f>IF(AA45&gt;0,AE44+AD45,0)</f>
        <v>0</v>
      </c>
      <c r="AF45" s="211">
        <f t="shared" si="54"/>
        <v>0</v>
      </c>
      <c r="AG45" s="213">
        <f t="shared" si="38"/>
        <v>0</v>
      </c>
      <c r="AH45" s="215">
        <f t="shared" si="39"/>
        <v>0</v>
      </c>
      <c r="AI45" s="215">
        <f t="shared" si="40"/>
        <v>0</v>
      </c>
      <c r="AJ45" s="248">
        <f t="shared" si="55"/>
        <v>14.725203742688954</v>
      </c>
    </row>
    <row r="46" spans="2:36" ht="12.75">
      <c r="B46" s="208">
        <f t="shared" si="41"/>
        <v>0</v>
      </c>
      <c r="C46" s="209">
        <f t="shared" si="0"/>
        <v>0</v>
      </c>
      <c r="D46" s="216">
        <f t="shared" si="1"/>
        <v>0</v>
      </c>
      <c r="E46" s="211">
        <f t="shared" si="44"/>
        <v>0</v>
      </c>
      <c r="F46" s="212">
        <f t="shared" si="45"/>
        <v>0</v>
      </c>
      <c r="G46" s="217">
        <f>IF(C46&gt;0,G45+F46,0)</f>
        <v>0</v>
      </c>
      <c r="H46" s="211">
        <f t="shared" si="46"/>
        <v>0</v>
      </c>
      <c r="I46" s="213">
        <f t="shared" si="17"/>
        <v>0</v>
      </c>
      <c r="J46" s="215">
        <f t="shared" si="18"/>
        <v>0</v>
      </c>
      <c r="K46" s="215">
        <f t="shared" si="19"/>
        <v>0</v>
      </c>
      <c r="L46" s="248">
        <f t="shared" si="47"/>
        <v>9.69049535377186</v>
      </c>
      <c r="N46" s="208">
        <f t="shared" si="42"/>
        <v>0</v>
      </c>
      <c r="O46" s="209">
        <f t="shared" si="5"/>
        <v>0</v>
      </c>
      <c r="P46" s="216">
        <f t="shared" si="33"/>
        <v>0</v>
      </c>
      <c r="Q46" s="211">
        <f t="shared" si="48"/>
        <v>0</v>
      </c>
      <c r="R46" s="212">
        <f t="shared" si="49"/>
        <v>0</v>
      </c>
      <c r="S46" s="217">
        <f>IF(O46&gt;0,S45+R46,0)</f>
        <v>0</v>
      </c>
      <c r="T46" s="211">
        <f t="shared" si="50"/>
        <v>0</v>
      </c>
      <c r="U46" s="213">
        <f t="shared" si="34"/>
        <v>0</v>
      </c>
      <c r="V46" s="215">
        <f t="shared" si="35"/>
        <v>0</v>
      </c>
      <c r="W46" s="215">
        <f t="shared" si="36"/>
        <v>0</v>
      </c>
      <c r="X46" s="248">
        <f t="shared" si="51"/>
        <v>10.063859847414523</v>
      </c>
      <c r="Z46" s="208">
        <f t="shared" si="43"/>
        <v>0</v>
      </c>
      <c r="AA46" s="209">
        <f t="shared" si="10"/>
        <v>0</v>
      </c>
      <c r="AB46" s="216">
        <f t="shared" si="37"/>
        <v>0</v>
      </c>
      <c r="AC46" s="211">
        <f t="shared" si="52"/>
        <v>0</v>
      </c>
      <c r="AD46" s="212">
        <f t="shared" si="53"/>
        <v>0</v>
      </c>
      <c r="AE46" s="217">
        <f>IF(AA46&gt;0,AE45+AD46,0)</f>
        <v>0</v>
      </c>
      <c r="AF46" s="211">
        <f t="shared" si="54"/>
        <v>0</v>
      </c>
      <c r="AG46" s="213">
        <f t="shared" si="38"/>
        <v>0</v>
      </c>
      <c r="AH46" s="215">
        <f t="shared" si="39"/>
        <v>0</v>
      </c>
      <c r="AI46" s="215">
        <f t="shared" si="40"/>
        <v>0</v>
      </c>
      <c r="AJ46" s="248">
        <f t="shared" si="55"/>
        <v>14.725203742688954</v>
      </c>
    </row>
    <row r="47" spans="2:36" ht="12.75">
      <c r="B47" s="208">
        <f t="shared" si="41"/>
        <v>0</v>
      </c>
      <c r="C47" s="209">
        <f t="shared" si="0"/>
        <v>0</v>
      </c>
      <c r="D47" s="216">
        <f t="shared" si="1"/>
        <v>0</v>
      </c>
      <c r="E47" s="211">
        <f t="shared" si="44"/>
        <v>0</v>
      </c>
      <c r="F47" s="212">
        <f t="shared" si="45"/>
        <v>0</v>
      </c>
      <c r="G47" s="217">
        <f>IF(C47&gt;0,G46+F47,0)</f>
        <v>0</v>
      </c>
      <c r="H47" s="211">
        <f t="shared" si="46"/>
        <v>0</v>
      </c>
      <c r="I47" s="213">
        <f t="shared" si="17"/>
        <v>0</v>
      </c>
      <c r="J47" s="215">
        <f>(Opp*Rho*(Gpers/75)^0.7*0.5*(E47/3.6)*(Vwind+E47/3.6)^2+(Cr+D47)*9.81*Gtot*E47/3.6)/Cf</f>
        <v>0</v>
      </c>
      <c r="K47" s="215">
        <f>J47*F47*60/1000</f>
        <v>0</v>
      </c>
      <c r="L47" s="248">
        <f t="shared" si="47"/>
        <v>9.69049535377186</v>
      </c>
      <c r="N47" s="208">
        <f t="shared" si="42"/>
        <v>0</v>
      </c>
      <c r="O47" s="209">
        <f t="shared" si="5"/>
        <v>0</v>
      </c>
      <c r="P47" s="216">
        <f t="shared" si="33"/>
        <v>0</v>
      </c>
      <c r="Q47" s="211">
        <f t="shared" si="48"/>
        <v>0</v>
      </c>
      <c r="R47" s="212">
        <f t="shared" si="49"/>
        <v>0</v>
      </c>
      <c r="S47" s="217">
        <f>IF(O47&gt;0,S46+R47,0)</f>
        <v>0</v>
      </c>
      <c r="T47" s="211">
        <f t="shared" si="50"/>
        <v>0</v>
      </c>
      <c r="U47" s="213">
        <f t="shared" si="34"/>
        <v>0</v>
      </c>
      <c r="V47" s="215">
        <f t="shared" si="35"/>
        <v>0</v>
      </c>
      <c r="W47" s="215">
        <f t="shared" si="36"/>
        <v>0</v>
      </c>
      <c r="X47" s="248">
        <f t="shared" si="51"/>
        <v>10.063859847414523</v>
      </c>
      <c r="Z47" s="208">
        <f t="shared" si="43"/>
        <v>0</v>
      </c>
      <c r="AA47" s="209">
        <f t="shared" si="10"/>
        <v>0</v>
      </c>
      <c r="AB47" s="216">
        <f t="shared" si="37"/>
        <v>0</v>
      </c>
      <c r="AC47" s="211">
        <f t="shared" si="52"/>
        <v>0</v>
      </c>
      <c r="AD47" s="212">
        <f t="shared" si="53"/>
        <v>0</v>
      </c>
      <c r="AE47" s="217">
        <f>IF(AA47&gt;0,AE46+AD47,0)</f>
        <v>0</v>
      </c>
      <c r="AF47" s="211">
        <f t="shared" si="54"/>
        <v>0</v>
      </c>
      <c r="AG47" s="213">
        <f t="shared" si="38"/>
        <v>0</v>
      </c>
      <c r="AH47" s="215">
        <f t="shared" si="39"/>
        <v>0</v>
      </c>
      <c r="AI47" s="215">
        <f t="shared" si="40"/>
        <v>0</v>
      </c>
      <c r="AJ47" s="248">
        <f t="shared" si="55"/>
        <v>14.725203742688954</v>
      </c>
    </row>
    <row r="48" spans="2:36" ht="13.5" thickBot="1">
      <c r="B48" s="230">
        <f t="shared" si="41"/>
        <v>0</v>
      </c>
      <c r="C48" s="218">
        <f>IF(ISBLANK(HLOOKUP(B$17,Cols,ROW()+1-ROW(B$17),FALSE)),0,C$49)</f>
        <v>0</v>
      </c>
      <c r="D48" s="219">
        <f>HLOOKUP(B$17,Cols,ROW()+1-ROW(B$17),FALSE)</f>
        <v>0</v>
      </c>
      <c r="E48" s="220">
        <f t="shared" si="44"/>
        <v>0</v>
      </c>
      <c r="F48" s="221">
        <f t="shared" si="45"/>
        <v>0</v>
      </c>
      <c r="G48" s="222">
        <f>IF(C48&gt;0,G47+F48,0)</f>
        <v>0</v>
      </c>
      <c r="H48" s="220">
        <f t="shared" si="46"/>
        <v>0</v>
      </c>
      <c r="I48" s="222">
        <f>IF(ISNA(VLOOKUP(E48,VerzetIfvSnelheid,5)),E48*1000/60/VerzetMinM,E48*1000/60/VLOOKUP(E48,VerzetIfvSnelheid,5))</f>
        <v>0</v>
      </c>
      <c r="J48" s="223">
        <f>(Opp*Rho*(Gpers/75)^0.7*0.5*(E48/3.6)*(Vwind+E48/3.6)^2+(Cr+D48)*9.81*Gtot*E48/3.6)/Cf</f>
        <v>0</v>
      </c>
      <c r="K48" s="223">
        <f>J48*F48*60/1000</f>
        <v>0</v>
      </c>
      <c r="L48" s="249">
        <f t="shared" si="47"/>
        <v>9.69049535377186</v>
      </c>
      <c r="N48" s="230">
        <f t="shared" si="42"/>
        <v>0</v>
      </c>
      <c r="O48" s="218">
        <f>IF(ISBLANK(HLOOKUP(N$17,Cols,ROW()+1-ROW(N$17),FALSE)),0,O$49)</f>
        <v>0</v>
      </c>
      <c r="P48" s="219">
        <f t="shared" si="33"/>
        <v>0</v>
      </c>
      <c r="Q48" s="220">
        <f t="shared" si="48"/>
        <v>0</v>
      </c>
      <c r="R48" s="221">
        <f t="shared" si="49"/>
        <v>0</v>
      </c>
      <c r="S48" s="222">
        <f>IF(O48&gt;0,S47+R48,0)</f>
        <v>0</v>
      </c>
      <c r="T48" s="220">
        <f t="shared" si="50"/>
        <v>0</v>
      </c>
      <c r="U48" s="222">
        <f t="shared" si="34"/>
        <v>0</v>
      </c>
      <c r="V48" s="223">
        <f t="shared" si="35"/>
        <v>0</v>
      </c>
      <c r="W48" s="223">
        <f t="shared" si="36"/>
        <v>0</v>
      </c>
      <c r="X48" s="249">
        <f t="shared" si="51"/>
        <v>10.063859847414523</v>
      </c>
      <c r="Z48" s="230">
        <f t="shared" si="43"/>
        <v>0</v>
      </c>
      <c r="AA48" s="218">
        <f>IF(ISBLANK(HLOOKUP(Z$17,Cols,ROW()+1-ROW(Z$17),FALSE)),0,AA$49)</f>
        <v>0</v>
      </c>
      <c r="AB48" s="219">
        <f t="shared" si="37"/>
        <v>0</v>
      </c>
      <c r="AC48" s="220">
        <f t="shared" si="52"/>
        <v>0</v>
      </c>
      <c r="AD48" s="221">
        <f t="shared" si="53"/>
        <v>0</v>
      </c>
      <c r="AE48" s="222">
        <f>IF(AA48&gt;0,AE47+AD48,0)</f>
        <v>0</v>
      </c>
      <c r="AF48" s="220">
        <f t="shared" si="54"/>
        <v>0</v>
      </c>
      <c r="AG48" s="222">
        <f t="shared" si="38"/>
        <v>0</v>
      </c>
      <c r="AH48" s="223">
        <f t="shared" si="39"/>
        <v>0</v>
      </c>
      <c r="AI48" s="223">
        <f t="shared" si="40"/>
        <v>0</v>
      </c>
      <c r="AJ48" s="249">
        <f t="shared" si="55"/>
        <v>14.725203742688954</v>
      </c>
    </row>
    <row r="49" spans="2:36" ht="12.75">
      <c r="B49" s="231"/>
      <c r="C49" s="251">
        <f>HLOOKUP(B$17,Cols,ROW()+1-ROW(B$17),FALSE)</f>
        <v>0.5</v>
      </c>
      <c r="D49" s="232" t="s">
        <v>23</v>
      </c>
      <c r="E49" s="252"/>
      <c r="F49" s="254" t="s">
        <v>222</v>
      </c>
      <c r="G49" s="233">
        <f>MAX(G19:G48)</f>
        <v>133.12012987012986</v>
      </c>
      <c r="H49" t="s">
        <v>223</v>
      </c>
      <c r="I49" s="234"/>
      <c r="J49" s="234"/>
      <c r="K49" s="255" t="s">
        <v>224</v>
      </c>
      <c r="L49" s="250">
        <f>+L48</f>
        <v>9.69049535377186</v>
      </c>
      <c r="N49" s="231"/>
      <c r="O49" s="251">
        <f>HLOOKUP(N$17,Cols,ROW()+1-ROW(N$17),FALSE)</f>
        <v>0.2</v>
      </c>
      <c r="P49" s="232" t="s">
        <v>23</v>
      </c>
      <c r="Q49" s="252"/>
      <c r="R49" s="254" t="s">
        <v>222</v>
      </c>
      <c r="S49" s="233">
        <f>MAX(S19:S48)</f>
        <v>126.39285714285714</v>
      </c>
      <c r="T49" t="s">
        <v>223</v>
      </c>
      <c r="U49" s="234"/>
      <c r="V49" s="234"/>
      <c r="W49" s="255" t="s">
        <v>224</v>
      </c>
      <c r="X49" s="250">
        <f>+X48</f>
        <v>10.063859847414523</v>
      </c>
      <c r="Z49" s="231"/>
      <c r="AA49" s="251">
        <f>HLOOKUP(Z$17,Cols,ROW()+1-ROW(Z$17),FALSE)</f>
        <v>1</v>
      </c>
      <c r="AB49" s="232" t="s">
        <v>23</v>
      </c>
      <c r="AC49" s="252"/>
      <c r="AD49" s="254" t="s">
        <v>222</v>
      </c>
      <c r="AE49" s="233">
        <f>MAX(AE19:AE48)</f>
        <v>105.9408091908092</v>
      </c>
      <c r="AF49" t="s">
        <v>223</v>
      </c>
      <c r="AG49" s="234"/>
      <c r="AH49" s="234"/>
      <c r="AI49" s="255" t="s">
        <v>224</v>
      </c>
      <c r="AJ49" s="250">
        <f>+AJ48</f>
        <v>14.725203742688954</v>
      </c>
    </row>
    <row r="50" spans="2:35" ht="12.75">
      <c r="B50" s="102"/>
      <c r="C50" s="102"/>
      <c r="D50" s="7"/>
      <c r="E50" s="5"/>
      <c r="F50" s="128" t="s">
        <v>123</v>
      </c>
      <c r="G50" s="103"/>
      <c r="H50" s="104"/>
      <c r="J50" t="s">
        <v>116</v>
      </c>
      <c r="K50" s="186">
        <f>SUM(K19:K48)</f>
        <v>1622.6480526855055</v>
      </c>
      <c r="N50" s="102"/>
      <c r="O50" s="102"/>
      <c r="P50" s="7"/>
      <c r="Q50" s="5"/>
      <c r="R50" s="128" t="s">
        <v>123</v>
      </c>
      <c r="S50" s="103"/>
      <c r="T50" s="104"/>
      <c r="V50" t="s">
        <v>116</v>
      </c>
      <c r="W50" s="186">
        <f>SUM(W19:W48)</f>
        <v>1591.301805729953</v>
      </c>
      <c r="Z50" s="102"/>
      <c r="AA50" s="102"/>
      <c r="AB50" s="7"/>
      <c r="AC50" s="5"/>
      <c r="AD50" s="128" t="s">
        <v>123</v>
      </c>
      <c r="AE50" s="103"/>
      <c r="AF50" s="104"/>
      <c r="AH50" t="s">
        <v>116</v>
      </c>
      <c r="AI50" s="186">
        <f>SUM(AI19:AI48)</f>
        <v>1349.8739508741605</v>
      </c>
    </row>
    <row r="51" spans="2:35" ht="12.75">
      <c r="B51" s="102"/>
      <c r="C51" s="102"/>
      <c r="D51" s="7"/>
      <c r="E51" s="5"/>
      <c r="F51" s="128" t="s">
        <v>178</v>
      </c>
      <c r="G51" s="103"/>
      <c r="H51" s="104"/>
      <c r="J51" t="s">
        <v>116</v>
      </c>
      <c r="K51" s="187">
        <f>K50/VerhKjPerKg</f>
        <v>8208.425284060564</v>
      </c>
      <c r="N51" s="102"/>
      <c r="O51" s="102"/>
      <c r="P51" s="7"/>
      <c r="Q51" s="5"/>
      <c r="R51" s="128" t="s">
        <v>178</v>
      </c>
      <c r="S51" s="103"/>
      <c r="T51" s="104"/>
      <c r="V51" t="s">
        <v>116</v>
      </c>
      <c r="W51" s="187">
        <f>W50/VerhKjPerKg</f>
        <v>8049.8552690505185</v>
      </c>
      <c r="Z51" s="102"/>
      <c r="AA51" s="102"/>
      <c r="AB51" s="7"/>
      <c r="AC51" s="5"/>
      <c r="AD51" s="128" t="s">
        <v>178</v>
      </c>
      <c r="AE51" s="103"/>
      <c r="AF51" s="104"/>
      <c r="AH51" t="s">
        <v>116</v>
      </c>
      <c r="AI51" s="187">
        <f>AI50/VerhKjPerKg</f>
        <v>6828.553764516014</v>
      </c>
    </row>
    <row r="52" spans="2:35" ht="12.75">
      <c r="B52" s="102"/>
      <c r="C52" s="102"/>
      <c r="D52" s="7"/>
      <c r="E52" s="5"/>
      <c r="F52" s="128"/>
      <c r="G52" s="103"/>
      <c r="H52" s="104"/>
      <c r="J52" t="s">
        <v>121</v>
      </c>
      <c r="K52" s="186">
        <f>K51/4.19</f>
        <v>1959.0513804440486</v>
      </c>
      <c r="N52" s="102"/>
      <c r="O52" s="102"/>
      <c r="P52" s="7"/>
      <c r="Q52" s="5"/>
      <c r="R52" s="128"/>
      <c r="S52" s="103"/>
      <c r="T52" s="104"/>
      <c r="V52" t="s">
        <v>121</v>
      </c>
      <c r="W52" s="186">
        <f>W51/4.19</f>
        <v>1921.2065081266153</v>
      </c>
      <c r="Z52" s="102"/>
      <c r="AA52" s="102"/>
      <c r="AB52" s="7"/>
      <c r="AC52" s="5"/>
      <c r="AD52" s="128"/>
      <c r="AE52" s="103"/>
      <c r="AF52" s="104"/>
      <c r="AH52" t="s">
        <v>121</v>
      </c>
      <c r="AI52" s="186">
        <f>AI51/4.19</f>
        <v>1629.7264354453491</v>
      </c>
    </row>
    <row r="53" spans="2:35" ht="12.75" customHeight="1">
      <c r="B53" s="102"/>
      <c r="C53" s="102"/>
      <c r="D53" s="7"/>
      <c r="E53" s="5"/>
      <c r="F53" s="128" t="s">
        <v>179</v>
      </c>
      <c r="G53" s="103"/>
      <c r="H53" s="104"/>
      <c r="J53" s="192">
        <f>IF(C19&gt;0,K50*1000/MAX(G19:G48)/60,0)</f>
        <v>203.15585807953292</v>
      </c>
      <c r="K53" t="s">
        <v>120</v>
      </c>
      <c r="N53" s="102"/>
      <c r="O53" s="102"/>
      <c r="P53" s="7"/>
      <c r="Q53" s="5"/>
      <c r="R53" s="128" t="s">
        <v>179</v>
      </c>
      <c r="S53" s="103"/>
      <c r="T53" s="104"/>
      <c r="V53" s="192">
        <f>IF(O19&gt;0,W50*1000/MAX(S19:S48)/60,0)</f>
        <v>209.83540812112034</v>
      </c>
      <c r="W53" t="s">
        <v>120</v>
      </c>
      <c r="Z53" s="102"/>
      <c r="AA53" s="102"/>
      <c r="AB53" s="7"/>
      <c r="AC53" s="5"/>
      <c r="AD53" s="128" t="s">
        <v>179</v>
      </c>
      <c r="AE53" s="103"/>
      <c r="AF53" s="104"/>
      <c r="AH53" s="192">
        <f>IF(AA19&gt;0,AI50*1000/MAX(AE19:AE48)/60,0)</f>
        <v>212.36291617062514</v>
      </c>
      <c r="AI53" t="s">
        <v>120</v>
      </c>
    </row>
    <row r="54" spans="2:34" ht="12.75">
      <c r="B54" s="178" t="s">
        <v>180</v>
      </c>
      <c r="C54" s="179"/>
      <c r="D54" s="179"/>
      <c r="E54" s="180"/>
      <c r="F54" s="184"/>
      <c r="G54" s="104"/>
      <c r="H54" s="104"/>
      <c r="J54" s="126">
        <f>J53/MaxVermogen</f>
        <v>0.9591030240851616</v>
      </c>
      <c r="N54" s="178" t="s">
        <v>180</v>
      </c>
      <c r="O54" s="179"/>
      <c r="P54" s="179"/>
      <c r="Q54" s="180"/>
      <c r="R54" s="184"/>
      <c r="S54" s="104"/>
      <c r="T54" s="104"/>
      <c r="V54" s="126">
        <f>V53/MaxVermogen</f>
        <v>0.9906373185178954</v>
      </c>
      <c r="Z54" s="178" t="s">
        <v>180</v>
      </c>
      <c r="AA54" s="179"/>
      <c r="AB54" s="179"/>
      <c r="AC54" s="180"/>
      <c r="AD54" s="184"/>
      <c r="AE54" s="104"/>
      <c r="AF54" s="104"/>
      <c r="AH54" s="126">
        <f>AH53/MaxVermogen</f>
        <v>1.0025697364978416</v>
      </c>
    </row>
    <row r="55" spans="2:36" ht="12.75">
      <c r="B55" s="174">
        <f>+MAX(B19:B48)</f>
        <v>21.5</v>
      </c>
      <c r="C55" s="182"/>
      <c r="D55" s="175">
        <f>IF(C19&gt;0,SUMPRODUCT(C19:C48,D19:D48)/MAX(B19:B48),0)</f>
        <v>0.07511627906976745</v>
      </c>
      <c r="E55" s="176">
        <f>IF(C19&gt;0,IF(VLOOKUP(D55,VlookupSnelheid,2)&gt;VmaxKlim,VmaxKlim,VLOOKUP(D55,VlookupSnelheid,2)),0)</f>
        <v>10</v>
      </c>
      <c r="F55" s="177"/>
      <c r="G55" s="185">
        <f>IF(C19&gt;0,B55/E55*60,0)</f>
        <v>129</v>
      </c>
      <c r="H55" s="170"/>
      <c r="I55" s="171"/>
      <c r="J55" s="172">
        <f>(Opp*Rho*(Gpers/75)^0.7*0.5*(E55/3.6)*(Vwind+E55/3.6)^2+(Cr+D55)*9.81*Gtot*E55/3.6)/Cf</f>
        <v>207.8811814510756</v>
      </c>
      <c r="K55" s="253" t="s">
        <v>120</v>
      </c>
      <c r="L55" s="173"/>
      <c r="N55" s="174">
        <f>+MAX(N19:N48)</f>
        <v>21.2</v>
      </c>
      <c r="O55" s="182"/>
      <c r="P55" s="175">
        <f>IF(O19&gt;0,SUMPRODUCT(O19:O48,P19:P48)/MAX(N19:N48),0)</f>
        <v>0.07485849056603773</v>
      </c>
      <c r="Q55" s="176">
        <f>IF(O19&gt;0,IF(VLOOKUP(P55,VlookupSnelheid,2)&gt;VmaxKlim,VmaxKlim,VLOOKUP(P55,VlookupSnelheid,2)),0)</f>
        <v>10</v>
      </c>
      <c r="R55" s="177"/>
      <c r="S55" s="185">
        <f>IF(O19&gt;0,N55/Q55*60,0)</f>
        <v>127.2</v>
      </c>
      <c r="T55" s="170"/>
      <c r="U55" s="171"/>
      <c r="V55" s="172">
        <f>(Opp*Rho*(Gpers/75)^0.7*0.5*(Q55/3.6)*(Vwind+Q55/3.6)^2+(Cr+P55)*9.81*Gtot*Q55/3.6)/Cf</f>
        <v>207.24525791582235</v>
      </c>
      <c r="W55" s="253" t="s">
        <v>120</v>
      </c>
      <c r="X55" s="173"/>
      <c r="Z55" s="174">
        <f>+MAX(Z19:Z48)</f>
        <v>26</v>
      </c>
      <c r="AA55" s="182"/>
      <c r="AB55" s="175">
        <f>IF(AA19&gt;0,SUMPRODUCT(AA19:AA48,AB19:AB48)/MAX(Z19:Z48),0)</f>
        <v>0.04385000000000001</v>
      </c>
      <c r="AC55" s="176">
        <f>IF(AA19&gt;0,IF(VLOOKUP(AB55,VlookupSnelheid,2)&gt;VmaxKlim,VmaxKlim,VLOOKUP(AB55,VlookupSnelheid,2)),0)</f>
        <v>16</v>
      </c>
      <c r="AD55" s="177"/>
      <c r="AE55" s="185">
        <f>IF(AA19&gt;0,Z55/AC55*60,0)</f>
        <v>97.5</v>
      </c>
      <c r="AF55" s="170"/>
      <c r="AG55" s="171"/>
      <c r="AH55" s="172">
        <f>(Opp*Rho*(Gpers/75)^0.7*0.5*(AC55/3.6)*(Vwind+AC55/3.6)^2+(Cr+AB55)*9.81*Gtot*AC55/3.6)/Cf</f>
        <v>222.4654960657109</v>
      </c>
      <c r="AI55" s="253" t="s">
        <v>120</v>
      </c>
      <c r="AJ55" s="173"/>
    </row>
    <row r="56" spans="2:10" ht="12.75">
      <c r="B56" s="102"/>
      <c r="C56" s="102"/>
      <c r="D56" s="7"/>
      <c r="E56" s="5"/>
      <c r="F56" s="6"/>
      <c r="G56" s="103"/>
      <c r="H56" s="104"/>
      <c r="J56" s="126"/>
    </row>
  </sheetData>
  <sheetProtection sheet="1" objects="1" scenarios="1"/>
  <mergeCells count="3">
    <mergeCell ref="B17:L17"/>
    <mergeCell ref="N17:X17"/>
    <mergeCell ref="Z17:AJ17"/>
  </mergeCells>
  <conditionalFormatting sqref="U55 I55 I19:I49 U19:U49 AG55 AG19:AG49">
    <cfRule type="cellIs" priority="1" dxfId="3" operator="between" stopIfTrue="1">
      <formula>Fmin</formula>
      <formula>Fmin-speling</formula>
    </cfRule>
    <cfRule type="cellIs" priority="2" dxfId="0" operator="lessThanOrEqual" stopIfTrue="1">
      <formula>Fmin-speling</formula>
    </cfRule>
  </conditionalFormatting>
  <conditionalFormatting sqref="L19:L48 X19:X48 AJ19:AJ48">
    <cfRule type="expression" priority="3" dxfId="5" stopIfTrue="1">
      <formula>C19=0</formula>
    </cfRule>
  </conditionalFormatting>
  <dataValidations count="1">
    <dataValidation type="list" allowBlank="1" showInputMessage="1" showErrorMessage="1" sqref="B17:C17 N17:O17 Z17:AA17">
      <formula1>LijstCols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90"/>
  <sheetViews>
    <sheetView showZeros="0" zoomScale="77" zoomScaleNormal="77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12" width="6.140625" style="0" customWidth="1"/>
    <col min="13" max="14" width="6.00390625" style="0" customWidth="1"/>
    <col min="17" max="17" width="14.28125" style="0" customWidth="1"/>
  </cols>
  <sheetData>
    <row r="4" spans="2:9" ht="15.75">
      <c r="B4" s="135" t="str">
        <f>"Persoonlijke Klimplanning van "&amp;Tabel!D4</f>
        <v>Persoonlijke Klimplanning van Wim Torfs</v>
      </c>
      <c r="C4" s="135"/>
      <c r="D4" s="141"/>
      <c r="E4" s="141"/>
      <c r="F4" s="141"/>
      <c r="G4" s="141"/>
      <c r="H4" s="141"/>
      <c r="I4" s="135"/>
    </row>
    <row r="5" spans="2:9" ht="12.75" customHeight="1">
      <c r="B5" s="139" t="str">
        <f>GebruikteRelaties!B58</f>
        <v>© Loet Janssen / Wim Torfs - www.dekaleberg.nl</v>
      </c>
      <c r="C5" s="139"/>
      <c r="I5" s="138"/>
    </row>
    <row r="6" ht="6.75" customHeight="1"/>
    <row r="7" spans="2:11" ht="12.75">
      <c r="B7" t="str">
        <f>KlimplanningMontVentoux!B7</f>
        <v>gewicht fietser</v>
      </c>
      <c r="J7" t="str">
        <f>KlimplanningMontVentoux!J7</f>
        <v>kg</v>
      </c>
      <c r="K7" s="192">
        <f>Gpers</f>
        <v>73</v>
      </c>
    </row>
    <row r="8" spans="2:11" ht="12.75">
      <c r="B8" t="str">
        <f>KlimplanningMontVentoux!B8</f>
        <v>wielomtrek</v>
      </c>
      <c r="J8" t="str">
        <f>KlimplanningMontVentoux!J8</f>
        <v>cm</v>
      </c>
      <c r="K8" s="193">
        <f>Omtrek</f>
        <v>210</v>
      </c>
    </row>
    <row r="9" spans="2:11" ht="12.75">
      <c r="B9" t="str">
        <f>KlimplanningMontVentoux!B9</f>
        <v>persoonlijk maximaal uurgemiddelde</v>
      </c>
      <c r="J9" t="str">
        <f>KlimplanningMontVentoux!J9</f>
        <v>km/hr</v>
      </c>
      <c r="K9" s="192">
        <f>Vmax</f>
        <v>31</v>
      </c>
    </row>
    <row r="10" spans="2:11" ht="12.75">
      <c r="B10" t="str">
        <f>KlimplanningMontVentoux!B10</f>
        <v>berekend max. vermogen</v>
      </c>
      <c r="J10" t="str">
        <f>KlimplanningMontVentoux!J10</f>
        <v>J/s</v>
      </c>
      <c r="K10" s="192">
        <f>MaxVermogen</f>
        <v>211.81859818793993</v>
      </c>
    </row>
    <row r="11" spans="2:11" ht="12.75">
      <c r="B11" t="str">
        <f>KlimplanningMontVentoux!B11</f>
        <v>reductiecoëfficiënt toegestane vermogen</v>
      </c>
      <c r="K11" s="126">
        <f>KlimplanningMontVentoux!K11</f>
        <v>1</v>
      </c>
    </row>
    <row r="12" spans="2:11" ht="12.75">
      <c r="B12" t="str">
        <f>KlimplanningMontVentoux!B12</f>
        <v>gereduceerd vermogen</v>
      </c>
      <c r="J12" t="str">
        <f>KlimplanningMontVentoux!J12</f>
        <v>J/s</v>
      </c>
      <c r="K12" s="192">
        <f>vermogen</f>
        <v>211.81859818793993</v>
      </c>
    </row>
    <row r="13" spans="2:11" ht="12.75">
      <c r="B13" t="str">
        <f>KlimplanningMontVentoux!B13</f>
        <v>windsnelheid (enkel bij klimmen)</v>
      </c>
      <c r="J13" t="str">
        <f>KlimplanningMontVentoux!J13</f>
        <v>m/s</v>
      </c>
      <c r="K13" s="192">
        <f>Vwind</f>
        <v>0</v>
      </c>
    </row>
    <row r="14" spans="2:11" ht="12.75">
      <c r="B14" t="str">
        <f>KlimplanningMontVentoux!B14</f>
        <v>max klimsnelheid</v>
      </c>
      <c r="J14" t="str">
        <f>KlimplanningMontVentoux!J14</f>
        <v>km/hr</v>
      </c>
      <c r="K14" s="192">
        <f>VmaxKlim</f>
        <v>99</v>
      </c>
    </row>
    <row r="15" ht="6.75" customHeight="1"/>
    <row r="16" spans="2:12" ht="122.25" thickBot="1">
      <c r="B16" s="105" t="s">
        <v>50</v>
      </c>
      <c r="C16" s="105" t="s">
        <v>181</v>
      </c>
      <c r="D16" s="105" t="s">
        <v>21</v>
      </c>
      <c r="E16" s="105" t="s">
        <v>26</v>
      </c>
      <c r="F16" s="105" t="s">
        <v>68</v>
      </c>
      <c r="G16" s="105" t="s">
        <v>112</v>
      </c>
      <c r="H16" s="105" t="s">
        <v>51</v>
      </c>
      <c r="I16" s="105" t="s">
        <v>56</v>
      </c>
      <c r="J16" s="105" t="s">
        <v>122</v>
      </c>
      <c r="K16" s="105" t="s">
        <v>119</v>
      </c>
      <c r="L16" s="105" t="s">
        <v>55</v>
      </c>
    </row>
    <row r="17" spans="2:12" ht="12.75">
      <c r="B17" s="256" t="s">
        <v>104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9"/>
    </row>
    <row r="18" spans="2:12" ht="12.75">
      <c r="B18" s="114" t="s">
        <v>10</v>
      </c>
      <c r="C18" s="181" t="s">
        <v>10</v>
      </c>
      <c r="D18" s="113" t="s">
        <v>66</v>
      </c>
      <c r="E18" s="113" t="s">
        <v>47</v>
      </c>
      <c r="F18" s="113" t="s">
        <v>48</v>
      </c>
      <c r="G18" s="113" t="s">
        <v>52</v>
      </c>
      <c r="H18" s="113" t="s">
        <v>49</v>
      </c>
      <c r="I18" s="113" t="s">
        <v>54</v>
      </c>
      <c r="J18" s="125" t="s">
        <v>120</v>
      </c>
      <c r="K18" s="125" t="s">
        <v>116</v>
      </c>
      <c r="L18" s="188" t="s">
        <v>67</v>
      </c>
    </row>
    <row r="19" spans="2:12" ht="12.75">
      <c r="B19" s="208">
        <f>C19</f>
        <v>1</v>
      </c>
      <c r="C19" s="209">
        <f aca="true" t="shared" si="0" ref="C19:C47">IF(ISBLANK(HLOOKUP(B$17,Cols,ROW()+2-ROW(B$17),FALSE)),IF(ISBLANK(HLOOKUP(B$17,Cols,ROW()+1-ROW(B$17),FALSE)),0,C$49),1)</f>
        <v>1</v>
      </c>
      <c r="D19" s="210">
        <f aca="true" t="shared" si="1" ref="D19:D47">HLOOKUP(B$17,Cols,ROW()+1-ROW(B$17),FALSE)</f>
        <v>0.035</v>
      </c>
      <c r="E19" s="211">
        <f aca="true" t="shared" si="2" ref="E19:E40">IF(C19&gt;0,IF(VLOOKUP(D19,VlookupSnelheid,2)&gt;VmaxKlim,VmaxKlim,VLOOKUP(D19,VlookupSnelheid,2)),0)</f>
        <v>18</v>
      </c>
      <c r="F19" s="212">
        <f aca="true" t="shared" si="3" ref="F19:F40">IF(C19&gt;0,C19/E19*60,0)</f>
        <v>3.333333333333333</v>
      </c>
      <c r="G19" s="213">
        <f>F19</f>
        <v>3.333333333333333</v>
      </c>
      <c r="H19" s="211" t="str">
        <f aca="true" t="shared" si="4" ref="H19:H40">IF(C19&gt;0,IF(ISNA(VLOOKUP(E19,VerzetIfvSnelheid,4)),VerzetMin,VLOOKUP(E19,VerzetIfvSnelheid,4)),0)</f>
        <v>39/21</v>
      </c>
      <c r="I19" s="213">
        <f>IF(ISNA(VLOOKUP(E19,VerzetIfvSnelheid,5)),E19*1000/60/VerzetMinM,E19*1000/60/VLOOKUP(E19,VerzetIfvSnelheid,5))</f>
        <v>76.92307692307692</v>
      </c>
      <c r="J19" s="214">
        <f>(Opp*Rho*(Gpers/75)^0.7*0.5*(E19/3.6)*(Vwind+E19/3.6)^2+(Cr+D19)*9.81*Gtot*E19/3.6)/Cf</f>
        <v>217.48035127530437</v>
      </c>
      <c r="K19" s="214">
        <f>J19*F19*60/1000</f>
        <v>43.49607025506087</v>
      </c>
      <c r="L19" s="248">
        <f>IF(G19=0,0,B19/G19*60)</f>
        <v>18.000000000000004</v>
      </c>
    </row>
    <row r="20" spans="2:12" ht="12.75">
      <c r="B20" s="208">
        <f aca="true" t="shared" si="5" ref="B20:B39">IF(C20&gt;0,B19+C20,0)</f>
        <v>2</v>
      </c>
      <c r="C20" s="209">
        <f t="shared" si="0"/>
        <v>1</v>
      </c>
      <c r="D20" s="210">
        <f t="shared" si="1"/>
        <v>0.025</v>
      </c>
      <c r="E20" s="211">
        <f t="shared" si="2"/>
        <v>22</v>
      </c>
      <c r="F20" s="212">
        <f t="shared" si="3"/>
        <v>2.7272727272727275</v>
      </c>
      <c r="G20" s="217">
        <f aca="true" t="shared" si="6" ref="G20:G44">IF(C20&gt;0,G19+F20,0)</f>
        <v>6.0606060606060606</v>
      </c>
      <c r="H20" s="211" t="str">
        <f t="shared" si="4"/>
        <v>50/21</v>
      </c>
      <c r="I20" s="213">
        <f aca="true" t="shared" si="7" ref="I20:I47">IF(ISNA(VLOOKUP(E20,VerzetIfvSnelheid,5)),E20*1000/60/VerzetMinM,E20*1000/60/VLOOKUP(E20,VerzetIfvSnelheid,5))</f>
        <v>73.33333333333334</v>
      </c>
      <c r="J20" s="214">
        <f aca="true" t="shared" si="8" ref="J20:J46">(Opp*Rho*(Gpers/75)^0.7*0.5*(E20/3.6)*(Vwind+E20/3.6)^2+(Cr+D20)*9.81*Gtot*E20/3.6)/Cf</f>
        <v>230.24156114368435</v>
      </c>
      <c r="K20" s="214">
        <f aca="true" t="shared" si="9" ref="K20:K46">J20*F20*60/1000</f>
        <v>37.67589182351198</v>
      </c>
      <c r="L20" s="248">
        <f aca="true" t="shared" si="10" ref="L20:L40">IF(G20=0,L19,B20/G20*60)</f>
        <v>19.8</v>
      </c>
    </row>
    <row r="21" spans="2:12" ht="12.75">
      <c r="B21" s="208">
        <f t="shared" si="5"/>
        <v>3</v>
      </c>
      <c r="C21" s="209">
        <f t="shared" si="0"/>
        <v>1</v>
      </c>
      <c r="D21" s="210">
        <f t="shared" si="1"/>
        <v>0.05</v>
      </c>
      <c r="E21" s="211">
        <f t="shared" si="2"/>
        <v>14</v>
      </c>
      <c r="F21" s="212">
        <f t="shared" si="3"/>
        <v>4.285714285714286</v>
      </c>
      <c r="G21" s="217">
        <f t="shared" si="6"/>
        <v>10.346320346320347</v>
      </c>
      <c r="H21" s="211" t="str">
        <f t="shared" si="4"/>
        <v>39/25</v>
      </c>
      <c r="I21" s="213">
        <f t="shared" si="7"/>
        <v>71.22507122507122</v>
      </c>
      <c r="J21" s="214">
        <f t="shared" si="8"/>
        <v>211.43365874385668</v>
      </c>
      <c r="K21" s="214">
        <f t="shared" si="9"/>
        <v>54.36865510556314</v>
      </c>
      <c r="L21" s="248">
        <f t="shared" si="10"/>
        <v>17.397489539748953</v>
      </c>
    </row>
    <row r="22" spans="2:12" ht="12.75">
      <c r="B22" s="208">
        <f t="shared" si="5"/>
        <v>4</v>
      </c>
      <c r="C22" s="209">
        <f t="shared" si="0"/>
        <v>1</v>
      </c>
      <c r="D22" s="210">
        <f t="shared" si="1"/>
        <v>0.055</v>
      </c>
      <c r="E22" s="211">
        <f t="shared" si="2"/>
        <v>14</v>
      </c>
      <c r="F22" s="212">
        <f t="shared" si="3"/>
        <v>4.285714285714286</v>
      </c>
      <c r="G22" s="217">
        <f t="shared" si="6"/>
        <v>14.632034632034632</v>
      </c>
      <c r="H22" s="211" t="str">
        <f t="shared" si="4"/>
        <v>39/25</v>
      </c>
      <c r="I22" s="213">
        <f t="shared" si="7"/>
        <v>71.22507122507122</v>
      </c>
      <c r="J22" s="214">
        <f t="shared" si="8"/>
        <v>228.70155348069875</v>
      </c>
      <c r="K22" s="214">
        <f t="shared" si="9"/>
        <v>58.808970895036815</v>
      </c>
      <c r="L22" s="248">
        <f t="shared" si="10"/>
        <v>16.40236686390533</v>
      </c>
    </row>
    <row r="23" spans="2:12" ht="12.75">
      <c r="B23" s="208">
        <f t="shared" si="5"/>
        <v>5</v>
      </c>
      <c r="C23" s="209">
        <f t="shared" si="0"/>
        <v>1</v>
      </c>
      <c r="D23" s="210">
        <f t="shared" si="1"/>
        <v>0.05</v>
      </c>
      <c r="E23" s="211">
        <f t="shared" si="2"/>
        <v>14</v>
      </c>
      <c r="F23" s="212">
        <f t="shared" si="3"/>
        <v>4.285714285714286</v>
      </c>
      <c r="G23" s="217">
        <f t="shared" si="6"/>
        <v>18.917748917748916</v>
      </c>
      <c r="H23" s="211" t="str">
        <f t="shared" si="4"/>
        <v>39/25</v>
      </c>
      <c r="I23" s="213">
        <f t="shared" si="7"/>
        <v>71.22507122507122</v>
      </c>
      <c r="J23" s="214">
        <f t="shared" si="8"/>
        <v>211.43365874385668</v>
      </c>
      <c r="K23" s="214">
        <f t="shared" si="9"/>
        <v>54.36865510556314</v>
      </c>
      <c r="L23" s="248">
        <f t="shared" si="10"/>
        <v>15.858123569794053</v>
      </c>
    </row>
    <row r="24" spans="2:12" ht="12.75">
      <c r="B24" s="208">
        <f t="shared" si="5"/>
        <v>6</v>
      </c>
      <c r="C24" s="209">
        <f t="shared" si="0"/>
        <v>1</v>
      </c>
      <c r="D24" s="210">
        <f t="shared" si="1"/>
        <v>0.045</v>
      </c>
      <c r="E24" s="211">
        <f t="shared" si="2"/>
        <v>16</v>
      </c>
      <c r="F24" s="212">
        <f t="shared" si="3"/>
        <v>3.75</v>
      </c>
      <c r="G24" s="217">
        <f t="shared" si="6"/>
        <v>22.667748917748916</v>
      </c>
      <c r="H24" s="211" t="str">
        <f t="shared" si="4"/>
        <v>39/23</v>
      </c>
      <c r="I24" s="213">
        <f t="shared" si="7"/>
        <v>74.8880748880749</v>
      </c>
      <c r="J24" s="214">
        <f t="shared" si="8"/>
        <v>227.00448553939503</v>
      </c>
      <c r="K24" s="214">
        <f t="shared" si="9"/>
        <v>51.07600924636389</v>
      </c>
      <c r="L24" s="248">
        <f t="shared" si="10"/>
        <v>15.881594652661734</v>
      </c>
    </row>
    <row r="25" spans="2:12" ht="12.75">
      <c r="B25" s="208">
        <f t="shared" si="5"/>
        <v>7</v>
      </c>
      <c r="C25" s="209">
        <f t="shared" si="0"/>
        <v>1</v>
      </c>
      <c r="D25" s="210">
        <f t="shared" si="1"/>
        <v>0.085</v>
      </c>
      <c r="E25" s="211">
        <f t="shared" si="2"/>
        <v>9</v>
      </c>
      <c r="F25" s="212">
        <f t="shared" si="3"/>
        <v>6.666666666666666</v>
      </c>
      <c r="G25" s="217">
        <f t="shared" si="6"/>
        <v>29.33441558441558</v>
      </c>
      <c r="H25" s="211" t="str">
        <f t="shared" si="4"/>
        <v>30/29</v>
      </c>
      <c r="I25" s="213">
        <f t="shared" si="7"/>
        <v>69.04761904761904</v>
      </c>
      <c r="J25" s="214">
        <f t="shared" si="8"/>
        <v>208.1279123304657</v>
      </c>
      <c r="K25" s="214">
        <f t="shared" si="9"/>
        <v>83.25116493218628</v>
      </c>
      <c r="L25" s="248">
        <f t="shared" si="10"/>
        <v>14.317653569452132</v>
      </c>
    </row>
    <row r="26" spans="2:12" ht="12.75">
      <c r="B26" s="208">
        <f t="shared" si="5"/>
        <v>8</v>
      </c>
      <c r="C26" s="209">
        <f t="shared" si="0"/>
        <v>1</v>
      </c>
      <c r="D26" s="210">
        <f t="shared" si="1"/>
        <v>0.1</v>
      </c>
      <c r="E26" s="211">
        <f t="shared" si="2"/>
        <v>7</v>
      </c>
      <c r="F26" s="212">
        <f t="shared" si="3"/>
        <v>8.571428571428571</v>
      </c>
      <c r="G26" s="217">
        <f t="shared" si="6"/>
        <v>37.90584415584415</v>
      </c>
      <c r="H26" s="211" t="str">
        <f t="shared" si="4"/>
        <v>30/29</v>
      </c>
      <c r="I26" s="213">
        <f t="shared" si="7"/>
        <v>53.7037037037037</v>
      </c>
      <c r="J26" s="214">
        <f t="shared" si="8"/>
        <v>186.58893102719264</v>
      </c>
      <c r="K26" s="214">
        <f t="shared" si="9"/>
        <v>95.96002167112765</v>
      </c>
      <c r="L26" s="248">
        <f t="shared" si="10"/>
        <v>12.662955032119916</v>
      </c>
    </row>
    <row r="27" spans="2:12" ht="12.75">
      <c r="B27" s="208">
        <f t="shared" si="5"/>
        <v>9</v>
      </c>
      <c r="C27" s="209">
        <f t="shared" si="0"/>
        <v>1</v>
      </c>
      <c r="D27" s="210">
        <f t="shared" si="1"/>
        <v>0.105</v>
      </c>
      <c r="E27" s="211">
        <f t="shared" si="2"/>
        <v>7</v>
      </c>
      <c r="F27" s="212">
        <f t="shared" si="3"/>
        <v>8.571428571428571</v>
      </c>
      <c r="G27" s="217">
        <f t="shared" si="6"/>
        <v>46.47727272727272</v>
      </c>
      <c r="H27" s="211" t="str">
        <f t="shared" si="4"/>
        <v>30/29</v>
      </c>
      <c r="I27" s="213">
        <f t="shared" si="7"/>
        <v>53.7037037037037</v>
      </c>
      <c r="J27" s="214">
        <f t="shared" si="8"/>
        <v>195.2228783956137</v>
      </c>
      <c r="K27" s="214">
        <f t="shared" si="9"/>
        <v>100.40033746060132</v>
      </c>
      <c r="L27" s="248">
        <f t="shared" si="10"/>
        <v>11.618581907090466</v>
      </c>
    </row>
    <row r="28" spans="2:12" ht="12.75">
      <c r="B28" s="208">
        <f t="shared" si="5"/>
        <v>10</v>
      </c>
      <c r="C28" s="209">
        <f t="shared" si="0"/>
        <v>1</v>
      </c>
      <c r="D28" s="210">
        <f t="shared" si="1"/>
        <v>0.095</v>
      </c>
      <c r="E28" s="211">
        <f t="shared" si="2"/>
        <v>8</v>
      </c>
      <c r="F28" s="212">
        <f t="shared" si="3"/>
        <v>7.5</v>
      </c>
      <c r="G28" s="217">
        <f t="shared" si="6"/>
        <v>53.97727272727272</v>
      </c>
      <c r="H28" s="211" t="str">
        <f t="shared" si="4"/>
        <v>30/29</v>
      </c>
      <c r="I28" s="213">
        <f t="shared" si="7"/>
        <v>61.37566137566137</v>
      </c>
      <c r="J28" s="214">
        <f t="shared" si="8"/>
        <v>204.01471858716124</v>
      </c>
      <c r="K28" s="214">
        <f t="shared" si="9"/>
        <v>91.80662336422257</v>
      </c>
      <c r="L28" s="248">
        <f t="shared" si="10"/>
        <v>11.115789473684213</v>
      </c>
    </row>
    <row r="29" spans="2:12" ht="12.75">
      <c r="B29" s="208">
        <f t="shared" si="5"/>
        <v>11</v>
      </c>
      <c r="C29" s="209">
        <f t="shared" si="0"/>
        <v>1</v>
      </c>
      <c r="D29" s="210">
        <f t="shared" si="1"/>
        <v>0.095</v>
      </c>
      <c r="E29" s="211">
        <f t="shared" si="2"/>
        <v>8</v>
      </c>
      <c r="F29" s="212">
        <f t="shared" si="3"/>
        <v>7.5</v>
      </c>
      <c r="G29" s="217">
        <f t="shared" si="6"/>
        <v>61.47727272727272</v>
      </c>
      <c r="H29" s="211" t="str">
        <f t="shared" si="4"/>
        <v>30/29</v>
      </c>
      <c r="I29" s="213">
        <f t="shared" si="7"/>
        <v>61.37566137566137</v>
      </c>
      <c r="J29" s="214">
        <f t="shared" si="8"/>
        <v>204.01471858716124</v>
      </c>
      <c r="K29" s="214">
        <f t="shared" si="9"/>
        <v>91.80662336422257</v>
      </c>
      <c r="L29" s="248">
        <f t="shared" si="10"/>
        <v>10.735674676524955</v>
      </c>
    </row>
    <row r="30" spans="2:12" ht="12.75">
      <c r="B30" s="208">
        <f t="shared" si="5"/>
        <v>12</v>
      </c>
      <c r="C30" s="209">
        <f t="shared" si="0"/>
        <v>1</v>
      </c>
      <c r="D30" s="210">
        <f t="shared" si="1"/>
        <v>0.1</v>
      </c>
      <c r="E30" s="211">
        <f t="shared" si="2"/>
        <v>7</v>
      </c>
      <c r="F30" s="212">
        <f t="shared" si="3"/>
        <v>8.571428571428571</v>
      </c>
      <c r="G30" s="217">
        <f t="shared" si="6"/>
        <v>70.04870129870129</v>
      </c>
      <c r="H30" s="211" t="str">
        <f t="shared" si="4"/>
        <v>30/29</v>
      </c>
      <c r="I30" s="213">
        <f t="shared" si="7"/>
        <v>53.7037037037037</v>
      </c>
      <c r="J30" s="214">
        <f t="shared" si="8"/>
        <v>186.58893102719264</v>
      </c>
      <c r="K30" s="214">
        <f t="shared" si="9"/>
        <v>95.96002167112765</v>
      </c>
      <c r="L30" s="248">
        <f t="shared" si="10"/>
        <v>10.278563151796062</v>
      </c>
    </row>
    <row r="31" spans="2:12" ht="12.75">
      <c r="B31" s="208">
        <f t="shared" si="5"/>
        <v>13</v>
      </c>
      <c r="C31" s="209">
        <f t="shared" si="0"/>
        <v>1</v>
      </c>
      <c r="D31" s="210">
        <f t="shared" si="1"/>
        <v>0.09</v>
      </c>
      <c r="E31" s="211">
        <f t="shared" si="2"/>
        <v>8</v>
      </c>
      <c r="F31" s="212">
        <f t="shared" si="3"/>
        <v>7.5</v>
      </c>
      <c r="G31" s="217">
        <f t="shared" si="6"/>
        <v>77.54870129870129</v>
      </c>
      <c r="H31" s="211" t="str">
        <f t="shared" si="4"/>
        <v>30/29</v>
      </c>
      <c r="I31" s="213">
        <f t="shared" si="7"/>
        <v>61.37566137566137</v>
      </c>
      <c r="J31" s="214">
        <f t="shared" si="8"/>
        <v>194.14735016610862</v>
      </c>
      <c r="K31" s="214">
        <f t="shared" si="9"/>
        <v>87.36630757474889</v>
      </c>
      <c r="L31" s="248">
        <f t="shared" si="10"/>
        <v>10.058195520200965</v>
      </c>
    </row>
    <row r="32" spans="2:12" ht="12.75">
      <c r="B32" s="208">
        <f t="shared" si="5"/>
        <v>14</v>
      </c>
      <c r="C32" s="209">
        <f t="shared" si="0"/>
        <v>1</v>
      </c>
      <c r="D32" s="210">
        <f t="shared" si="1"/>
        <v>0.09</v>
      </c>
      <c r="E32" s="211">
        <f t="shared" si="2"/>
        <v>8</v>
      </c>
      <c r="F32" s="212">
        <f t="shared" si="3"/>
        <v>7.5</v>
      </c>
      <c r="G32" s="217">
        <f t="shared" si="6"/>
        <v>85.04870129870129</v>
      </c>
      <c r="H32" s="211" t="str">
        <f t="shared" si="4"/>
        <v>30/29</v>
      </c>
      <c r="I32" s="213">
        <f t="shared" si="7"/>
        <v>61.37566137566137</v>
      </c>
      <c r="J32" s="214">
        <f t="shared" si="8"/>
        <v>194.14735016610862</v>
      </c>
      <c r="K32" s="214">
        <f t="shared" si="9"/>
        <v>87.36630757474889</v>
      </c>
      <c r="L32" s="248">
        <f t="shared" si="10"/>
        <v>9.8766940255774</v>
      </c>
    </row>
    <row r="33" spans="2:12" ht="12.75">
      <c r="B33" s="208">
        <f t="shared" si="5"/>
        <v>15</v>
      </c>
      <c r="C33" s="209">
        <f t="shared" si="0"/>
        <v>1</v>
      </c>
      <c r="D33" s="210">
        <f t="shared" si="1"/>
        <v>0.085</v>
      </c>
      <c r="E33" s="211">
        <f t="shared" si="2"/>
        <v>9</v>
      </c>
      <c r="F33" s="212">
        <f t="shared" si="3"/>
        <v>6.666666666666666</v>
      </c>
      <c r="G33" s="217">
        <f t="shared" si="6"/>
        <v>91.71536796536796</v>
      </c>
      <c r="H33" s="211" t="str">
        <f t="shared" si="4"/>
        <v>30/29</v>
      </c>
      <c r="I33" s="213">
        <f t="shared" si="7"/>
        <v>69.04761904761904</v>
      </c>
      <c r="J33" s="214">
        <f t="shared" si="8"/>
        <v>208.1279123304657</v>
      </c>
      <c r="K33" s="214">
        <f t="shared" si="9"/>
        <v>83.25116493218628</v>
      </c>
      <c r="L33" s="248">
        <f t="shared" si="10"/>
        <v>9.812968316714851</v>
      </c>
    </row>
    <row r="34" spans="2:12" ht="12.75">
      <c r="B34" s="208">
        <f t="shared" si="5"/>
        <v>16</v>
      </c>
      <c r="C34" s="209">
        <f t="shared" si="0"/>
        <v>1</v>
      </c>
      <c r="D34" s="210">
        <f t="shared" si="1"/>
        <v>0.075</v>
      </c>
      <c r="E34" s="211">
        <f t="shared" si="2"/>
        <v>10</v>
      </c>
      <c r="F34" s="212">
        <f t="shared" si="3"/>
        <v>6</v>
      </c>
      <c r="G34" s="217">
        <f t="shared" si="6"/>
        <v>97.71536796536796</v>
      </c>
      <c r="H34" s="211" t="str">
        <f t="shared" si="4"/>
        <v>30/29</v>
      </c>
      <c r="I34" s="213">
        <f t="shared" si="7"/>
        <v>76.71957671957671</v>
      </c>
      <c r="J34" s="214">
        <f t="shared" si="8"/>
        <v>207.59433934581241</v>
      </c>
      <c r="K34" s="214">
        <f t="shared" si="9"/>
        <v>74.73396216449248</v>
      </c>
      <c r="L34" s="248">
        <f t="shared" si="10"/>
        <v>9.824452591124057</v>
      </c>
    </row>
    <row r="35" spans="2:12" ht="12.75">
      <c r="B35" s="208">
        <f t="shared" si="5"/>
        <v>17</v>
      </c>
      <c r="C35" s="209">
        <f t="shared" si="0"/>
        <v>1</v>
      </c>
      <c r="D35" s="210">
        <f t="shared" si="1"/>
        <v>0.06</v>
      </c>
      <c r="E35" s="211">
        <f t="shared" si="2"/>
        <v>14</v>
      </c>
      <c r="F35" s="212">
        <f t="shared" si="3"/>
        <v>4.285714285714286</v>
      </c>
      <c r="G35" s="217">
        <f t="shared" si="6"/>
        <v>102.00108225108225</v>
      </c>
      <c r="H35" s="211" t="str">
        <f t="shared" si="4"/>
        <v>39/25</v>
      </c>
      <c r="I35" s="213">
        <f t="shared" si="7"/>
        <v>71.22507122507122</v>
      </c>
      <c r="J35" s="214">
        <f t="shared" si="8"/>
        <v>245.9694482175409</v>
      </c>
      <c r="K35" s="214">
        <f t="shared" si="9"/>
        <v>63.249286684510515</v>
      </c>
      <c r="L35" s="248">
        <f t="shared" si="10"/>
        <v>9.999893898078493</v>
      </c>
    </row>
    <row r="36" spans="2:12" ht="12.75">
      <c r="B36" s="208">
        <f t="shared" si="5"/>
        <v>18</v>
      </c>
      <c r="C36" s="209">
        <f t="shared" si="0"/>
        <v>1</v>
      </c>
      <c r="D36" s="210">
        <f t="shared" si="1"/>
        <v>0.08</v>
      </c>
      <c r="E36" s="211">
        <f t="shared" si="2"/>
        <v>9</v>
      </c>
      <c r="F36" s="212">
        <f t="shared" si="3"/>
        <v>6.666666666666666</v>
      </c>
      <c r="G36" s="217">
        <f t="shared" si="6"/>
        <v>108.66774891774892</v>
      </c>
      <c r="H36" s="211" t="str">
        <f t="shared" si="4"/>
        <v>30/29</v>
      </c>
      <c r="I36" s="213">
        <f t="shared" si="7"/>
        <v>69.04761904761904</v>
      </c>
      <c r="J36" s="214">
        <f t="shared" si="8"/>
        <v>197.0271228567815</v>
      </c>
      <c r="K36" s="214">
        <f t="shared" si="9"/>
        <v>78.81084914271258</v>
      </c>
      <c r="L36" s="248">
        <f t="shared" si="10"/>
        <v>9.93855132508042</v>
      </c>
    </row>
    <row r="37" spans="2:12" ht="12.75">
      <c r="B37" s="208">
        <f t="shared" si="5"/>
        <v>19</v>
      </c>
      <c r="C37" s="209">
        <f t="shared" si="0"/>
        <v>1</v>
      </c>
      <c r="D37" s="210">
        <f t="shared" si="1"/>
        <v>0.07</v>
      </c>
      <c r="E37" s="211">
        <f t="shared" si="2"/>
        <v>10</v>
      </c>
      <c r="F37" s="212">
        <f t="shared" si="3"/>
        <v>6</v>
      </c>
      <c r="G37" s="217">
        <f t="shared" si="6"/>
        <v>114.66774891774892</v>
      </c>
      <c r="H37" s="211" t="str">
        <f t="shared" si="4"/>
        <v>30/29</v>
      </c>
      <c r="I37" s="213">
        <f t="shared" si="7"/>
        <v>76.71957671957671</v>
      </c>
      <c r="J37" s="215">
        <f t="shared" si="8"/>
        <v>195.26012881949666</v>
      </c>
      <c r="K37" s="215">
        <f t="shared" si="9"/>
        <v>70.2936463750188</v>
      </c>
      <c r="L37" s="248">
        <f t="shared" si="10"/>
        <v>9.941766632374732</v>
      </c>
    </row>
    <row r="38" spans="2:12" ht="12.75">
      <c r="B38" s="208">
        <f t="shared" si="5"/>
        <v>20</v>
      </c>
      <c r="C38" s="209">
        <f t="shared" si="0"/>
        <v>1</v>
      </c>
      <c r="D38" s="210">
        <f>HLOOKUP(B$17,Cols,ROW()+1-ROW(B$17),FALSE)</f>
        <v>0.08</v>
      </c>
      <c r="E38" s="211">
        <f t="shared" si="2"/>
        <v>9</v>
      </c>
      <c r="F38" s="212">
        <f t="shared" si="3"/>
        <v>6.666666666666666</v>
      </c>
      <c r="G38" s="217">
        <f t="shared" si="6"/>
        <v>121.3344155844156</v>
      </c>
      <c r="H38" s="211" t="str">
        <f t="shared" si="4"/>
        <v>30/29</v>
      </c>
      <c r="I38" s="213">
        <f>IF(ISNA(VLOOKUP(E38,VerzetIfvSnelheid,5)),E38*1000/60/VerzetMinM,E38*1000/60/VLOOKUP(E38,VerzetIfvSnelheid,5))</f>
        <v>69.04761904761904</v>
      </c>
      <c r="J38" s="215">
        <f>(Opp*Rho*(Gpers/75)^0.7*0.5*(E38/3.6)*(Vwind+E38/3.6)^2+(Cr+D38)*9.81*Gtot*E38/3.6)/Cf</f>
        <v>197.0271228567815</v>
      </c>
      <c r="K38" s="215">
        <f>J38*F38*60/1000</f>
        <v>78.81084914271258</v>
      </c>
      <c r="L38" s="248">
        <f t="shared" si="10"/>
        <v>9.890021674560488</v>
      </c>
    </row>
    <row r="39" spans="2:12" ht="12.75">
      <c r="B39" s="208">
        <f t="shared" si="5"/>
        <v>21</v>
      </c>
      <c r="C39" s="209">
        <f t="shared" si="0"/>
        <v>1</v>
      </c>
      <c r="D39" s="210">
        <f>HLOOKUP(B$17,Cols,ROW()+1-ROW(B$17),FALSE)</f>
        <v>0.09</v>
      </c>
      <c r="E39" s="211">
        <f t="shared" si="2"/>
        <v>8</v>
      </c>
      <c r="F39" s="212">
        <f t="shared" si="3"/>
        <v>7.5</v>
      </c>
      <c r="G39" s="217">
        <f t="shared" si="6"/>
        <v>128.83441558441558</v>
      </c>
      <c r="H39" s="211" t="str">
        <f t="shared" si="4"/>
        <v>30/29</v>
      </c>
      <c r="I39" s="213">
        <f>IF(ISNA(VLOOKUP(E39,VerzetIfvSnelheid,5)),E39*1000/60/VerzetMinM,E39*1000/60/VLOOKUP(E39,VerzetIfvSnelheid,5))</f>
        <v>61.37566137566137</v>
      </c>
      <c r="J39" s="215">
        <f>(Opp*Rho*(Gpers/75)^0.7*0.5*(E39/3.6)*(Vwind+E39/3.6)^2+(Cr+D39)*9.81*Gtot*E39/3.6)/Cf</f>
        <v>194.14735016610862</v>
      </c>
      <c r="K39" s="215">
        <f>J39*F39*60/1000</f>
        <v>87.36630757474889</v>
      </c>
      <c r="L39" s="248">
        <f t="shared" si="10"/>
        <v>9.779995463823997</v>
      </c>
    </row>
    <row r="40" spans="2:12" ht="12.75">
      <c r="B40" s="208">
        <f>IF(C40&gt;0,B39+C40,0)</f>
        <v>21.5</v>
      </c>
      <c r="C40" s="209">
        <f t="shared" si="0"/>
        <v>0.5</v>
      </c>
      <c r="D40" s="210">
        <f>HLOOKUP(B$17,Cols,ROW()+1-ROW(B$17),FALSE)</f>
        <v>0.11</v>
      </c>
      <c r="E40" s="211">
        <f t="shared" si="2"/>
        <v>7</v>
      </c>
      <c r="F40" s="212">
        <f t="shared" si="3"/>
        <v>4.285714285714286</v>
      </c>
      <c r="G40" s="217">
        <f t="shared" si="6"/>
        <v>133.12012987012986</v>
      </c>
      <c r="H40" s="211" t="str">
        <f t="shared" si="4"/>
        <v>30/29</v>
      </c>
      <c r="I40" s="213">
        <f>IF(ISNA(VLOOKUP(E40,VerzetIfvSnelheid,5)),E40*1000/60/VerzetMinM,E40*1000/60/VLOOKUP(E40,VerzetIfvSnelheid,5))</f>
        <v>53.7037037037037</v>
      </c>
      <c r="J40" s="215">
        <f>(Opp*Rho*(Gpers/75)^0.7*0.5*(E40/3.6)*(Vwind+E40/3.6)^2+(Cr+D40)*9.81*Gtot*E40/3.6)/Cf</f>
        <v>203.85682576403474</v>
      </c>
      <c r="K40" s="215">
        <f>J40*F40*60/1000</f>
        <v>52.420326625037504</v>
      </c>
      <c r="L40" s="248">
        <f t="shared" si="10"/>
        <v>9.69049535377186</v>
      </c>
    </row>
    <row r="41" spans="2:12" ht="12.75">
      <c r="B41" s="208">
        <f aca="true" t="shared" si="11" ref="B41:B48">IF(C41&gt;0,B40+C41,0)</f>
        <v>0</v>
      </c>
      <c r="C41" s="209">
        <f t="shared" si="0"/>
        <v>0</v>
      </c>
      <c r="D41" s="210">
        <f>HLOOKUP(B$17,Cols,ROW()+1-ROW(B$17),FALSE)</f>
        <v>0</v>
      </c>
      <c r="E41" s="211">
        <f>IF(C41&gt;0,IF(VLOOKUP(D41,VlookupSnelheid,2)&gt;VmaxKlim,VmaxKlim,VLOOKUP(D41,VlookupSnelheid,2)),0)</f>
        <v>0</v>
      </c>
      <c r="F41" s="212">
        <f>IF(C41&gt;0,C41/E41*60,0)</f>
        <v>0</v>
      </c>
      <c r="G41" s="217">
        <f t="shared" si="6"/>
        <v>0</v>
      </c>
      <c r="H41" s="211">
        <f>IF(C41&gt;0,IF(ISNA(VLOOKUP(E41,VerzetIfvSnelheid,4)),VerzetMin,VLOOKUP(E41,VerzetIfvSnelheid,4)),0)</f>
        <v>0</v>
      </c>
      <c r="I41" s="213">
        <f>IF(ISNA(VLOOKUP(E41,VerzetIfvSnelheid,5)),E41*1000/60/VerzetMinM,E41*1000/60/VLOOKUP(E41,VerzetIfvSnelheid,5))</f>
        <v>0</v>
      </c>
      <c r="J41" s="215">
        <f>(Opp*Rho*(Gpers/75)^0.7*0.5*(E41/3.6)*(Vwind+E41/3.6)^2+(Cr+D41)*9.81*Gtot*E41/3.6)/Cf</f>
        <v>0</v>
      </c>
      <c r="K41" s="215">
        <f>J41*F41*60/1000</f>
        <v>0</v>
      </c>
      <c r="L41" s="248">
        <f>IF(G41=0,L40,B41/G41*60)</f>
        <v>9.69049535377186</v>
      </c>
    </row>
    <row r="42" spans="2:12" ht="12.75">
      <c r="B42" s="208">
        <f t="shared" si="11"/>
        <v>0</v>
      </c>
      <c r="C42" s="209">
        <f t="shared" si="0"/>
        <v>0</v>
      </c>
      <c r="D42" s="210">
        <f>HLOOKUP(B$17,Cols,ROW()+1-ROW(B$17),FALSE)</f>
        <v>0</v>
      </c>
      <c r="E42" s="211">
        <f aca="true" t="shared" si="12" ref="E42:E48">IF(C42&gt;0,IF(VLOOKUP(D42,VlookupSnelheid,2)&gt;VmaxKlim,VmaxKlim,VLOOKUP(D42,VlookupSnelheid,2)),0)</f>
        <v>0</v>
      </c>
      <c r="F42" s="212">
        <f aca="true" t="shared" si="13" ref="F42:F48">IF(C42&gt;0,C42/E42*60,0)</f>
        <v>0</v>
      </c>
      <c r="G42" s="217">
        <f t="shared" si="6"/>
        <v>0</v>
      </c>
      <c r="H42" s="211">
        <f aca="true" t="shared" si="14" ref="H42:H48">IF(C42&gt;0,IF(ISNA(VLOOKUP(E42,VerzetIfvSnelheid,4)),VerzetMin,VLOOKUP(E42,VerzetIfvSnelheid,4)),0)</f>
        <v>0</v>
      </c>
      <c r="I42" s="213">
        <f>IF(ISNA(VLOOKUP(E42,VerzetIfvSnelheid,5)),E42*1000/60/VerzetMinM,E42*1000/60/VLOOKUP(E42,VerzetIfvSnelheid,5))</f>
        <v>0</v>
      </c>
      <c r="J42" s="215">
        <f>(Opp*Rho*(Gpers/75)^0.7*0.5*(E42/3.6)*(Vwind+E42/3.6)^2+(Cr+D42)*9.81*Gtot*E42/3.6)/Cf</f>
        <v>0</v>
      </c>
      <c r="K42" s="215">
        <f>J42*F42*60/1000</f>
        <v>0</v>
      </c>
      <c r="L42" s="248">
        <f aca="true" t="shared" si="15" ref="L42:L48">IF(G42=0,L41,B42/G42*60)</f>
        <v>9.69049535377186</v>
      </c>
    </row>
    <row r="43" spans="2:12" ht="12.75">
      <c r="B43" s="208">
        <f t="shared" si="11"/>
        <v>0</v>
      </c>
      <c r="C43" s="209">
        <f t="shared" si="0"/>
        <v>0</v>
      </c>
      <c r="D43" s="216">
        <f t="shared" si="1"/>
        <v>0</v>
      </c>
      <c r="E43" s="211">
        <f t="shared" si="12"/>
        <v>0</v>
      </c>
      <c r="F43" s="212">
        <f t="shared" si="13"/>
        <v>0</v>
      </c>
      <c r="G43" s="217">
        <f t="shared" si="6"/>
        <v>0</v>
      </c>
      <c r="H43" s="211">
        <f t="shared" si="14"/>
        <v>0</v>
      </c>
      <c r="I43" s="213">
        <f t="shared" si="7"/>
        <v>0</v>
      </c>
      <c r="J43" s="215">
        <f t="shared" si="8"/>
        <v>0</v>
      </c>
      <c r="K43" s="215">
        <f t="shared" si="9"/>
        <v>0</v>
      </c>
      <c r="L43" s="248">
        <f t="shared" si="15"/>
        <v>9.69049535377186</v>
      </c>
    </row>
    <row r="44" spans="2:12" ht="12.75">
      <c r="B44" s="208">
        <f t="shared" si="11"/>
        <v>0</v>
      </c>
      <c r="C44" s="209">
        <f t="shared" si="0"/>
        <v>0</v>
      </c>
      <c r="D44" s="216">
        <f t="shared" si="1"/>
        <v>0</v>
      </c>
      <c r="E44" s="211">
        <f t="shared" si="12"/>
        <v>0</v>
      </c>
      <c r="F44" s="212">
        <f t="shared" si="13"/>
        <v>0</v>
      </c>
      <c r="G44" s="217">
        <f t="shared" si="6"/>
        <v>0</v>
      </c>
      <c r="H44" s="211">
        <f t="shared" si="14"/>
        <v>0</v>
      </c>
      <c r="I44" s="213">
        <f t="shared" si="7"/>
        <v>0</v>
      </c>
      <c r="J44" s="215">
        <f t="shared" si="8"/>
        <v>0</v>
      </c>
      <c r="K44" s="215">
        <f t="shared" si="9"/>
        <v>0</v>
      </c>
      <c r="L44" s="248">
        <f t="shared" si="15"/>
        <v>9.69049535377186</v>
      </c>
    </row>
    <row r="45" spans="2:12" ht="12.75">
      <c r="B45" s="208">
        <f t="shared" si="11"/>
        <v>0</v>
      </c>
      <c r="C45" s="209">
        <f t="shared" si="0"/>
        <v>0</v>
      </c>
      <c r="D45" s="216">
        <f t="shared" si="1"/>
        <v>0</v>
      </c>
      <c r="E45" s="211">
        <f t="shared" si="12"/>
        <v>0</v>
      </c>
      <c r="F45" s="212">
        <f t="shared" si="13"/>
        <v>0</v>
      </c>
      <c r="G45" s="217">
        <f>IF(C45&gt;0,G44+F45,0)</f>
        <v>0</v>
      </c>
      <c r="H45" s="211">
        <f t="shared" si="14"/>
        <v>0</v>
      </c>
      <c r="I45" s="213">
        <f t="shared" si="7"/>
        <v>0</v>
      </c>
      <c r="J45" s="215">
        <f t="shared" si="8"/>
        <v>0</v>
      </c>
      <c r="K45" s="215">
        <f t="shared" si="9"/>
        <v>0</v>
      </c>
      <c r="L45" s="248">
        <f t="shared" si="15"/>
        <v>9.69049535377186</v>
      </c>
    </row>
    <row r="46" spans="2:12" ht="12.75">
      <c r="B46" s="208">
        <f t="shared" si="11"/>
        <v>0</v>
      </c>
      <c r="C46" s="209">
        <f t="shared" si="0"/>
        <v>0</v>
      </c>
      <c r="D46" s="216">
        <f t="shared" si="1"/>
        <v>0</v>
      </c>
      <c r="E46" s="211">
        <f t="shared" si="12"/>
        <v>0</v>
      </c>
      <c r="F46" s="212">
        <f t="shared" si="13"/>
        <v>0</v>
      </c>
      <c r="G46" s="217">
        <f>IF(C46&gt;0,G45+F46,0)</f>
        <v>0</v>
      </c>
      <c r="H46" s="211">
        <f t="shared" si="14"/>
        <v>0</v>
      </c>
      <c r="I46" s="213">
        <f t="shared" si="7"/>
        <v>0</v>
      </c>
      <c r="J46" s="215">
        <f t="shared" si="8"/>
        <v>0</v>
      </c>
      <c r="K46" s="215">
        <f t="shared" si="9"/>
        <v>0</v>
      </c>
      <c r="L46" s="248">
        <f t="shared" si="15"/>
        <v>9.69049535377186</v>
      </c>
    </row>
    <row r="47" spans="2:12" ht="12.75">
      <c r="B47" s="208">
        <f t="shared" si="11"/>
        <v>0</v>
      </c>
      <c r="C47" s="209">
        <f t="shared" si="0"/>
        <v>0</v>
      </c>
      <c r="D47" s="216">
        <f t="shared" si="1"/>
        <v>0</v>
      </c>
      <c r="E47" s="211">
        <f t="shared" si="12"/>
        <v>0</v>
      </c>
      <c r="F47" s="212">
        <f t="shared" si="13"/>
        <v>0</v>
      </c>
      <c r="G47" s="217">
        <f>IF(C47&gt;0,G46+F47,0)</f>
        <v>0</v>
      </c>
      <c r="H47" s="211">
        <f t="shared" si="14"/>
        <v>0</v>
      </c>
      <c r="I47" s="213">
        <f t="shared" si="7"/>
        <v>0</v>
      </c>
      <c r="J47" s="215">
        <f>(Opp*Rho*(Gpers/75)^0.7*0.5*(E47/3.6)*(Vwind+E47/3.6)^2+(Cr+D47)*9.81*Gtot*E47/3.6)/Cf</f>
        <v>0</v>
      </c>
      <c r="K47" s="215">
        <f>J47*F47*60/1000</f>
        <v>0</v>
      </c>
      <c r="L47" s="248">
        <f t="shared" si="15"/>
        <v>9.69049535377186</v>
      </c>
    </row>
    <row r="48" spans="2:12" ht="13.5" thickBot="1">
      <c r="B48" s="230">
        <f t="shared" si="11"/>
        <v>0</v>
      </c>
      <c r="C48" s="218">
        <f>IF(ISBLANK(HLOOKUP(B$17,Cols,ROW()+1-ROW(B$17),FALSE)),0,C$49)</f>
        <v>0</v>
      </c>
      <c r="D48" s="219">
        <f>HLOOKUP(B$17,Cols,ROW()+1-ROW(B$17),FALSE)</f>
        <v>0</v>
      </c>
      <c r="E48" s="220">
        <f t="shared" si="12"/>
        <v>0</v>
      </c>
      <c r="F48" s="221">
        <f t="shared" si="13"/>
        <v>0</v>
      </c>
      <c r="G48" s="222">
        <f>IF(C48&gt;0,G47+F48,0)</f>
        <v>0</v>
      </c>
      <c r="H48" s="220">
        <f t="shared" si="14"/>
        <v>0</v>
      </c>
      <c r="I48" s="222">
        <f>IF(ISNA(VLOOKUP(E48,VerzetIfvSnelheid,5)),E48*1000/60/VerzetMinM,E48*1000/60/VLOOKUP(E48,VerzetIfvSnelheid,5))</f>
        <v>0</v>
      </c>
      <c r="J48" s="223">
        <f>(Opp*Rho*(Gpers/75)^0.7*0.5*(E48/3.6)*(Vwind+E48/3.6)^2+(Cr+D48)*9.81*Gtot*E48/3.6)/Cf</f>
        <v>0</v>
      </c>
      <c r="K48" s="223">
        <f>J48*F48*60/1000</f>
        <v>0</v>
      </c>
      <c r="L48" s="249">
        <f t="shared" si="15"/>
        <v>9.69049535377186</v>
      </c>
    </row>
    <row r="49" spans="1:12" ht="12.75">
      <c r="A49" s="3"/>
      <c r="B49" s="231"/>
      <c r="C49" s="251">
        <f>HLOOKUP(B$17,Cols,ROW()+1-ROW(B$17),FALSE)</f>
        <v>0.5</v>
      </c>
      <c r="D49" s="232" t="s">
        <v>23</v>
      </c>
      <c r="E49" s="252"/>
      <c r="F49" s="254" t="s">
        <v>222</v>
      </c>
      <c r="G49" s="233">
        <f>MAX(G19:G48)</f>
        <v>133.12012987012986</v>
      </c>
      <c r="H49" t="s">
        <v>223</v>
      </c>
      <c r="I49" s="234"/>
      <c r="J49" s="234"/>
      <c r="K49" s="255" t="s">
        <v>224</v>
      </c>
      <c r="L49" s="250">
        <f>+L48</f>
        <v>9.69049535377186</v>
      </c>
    </row>
    <row r="50" spans="2:11" ht="12.75">
      <c r="B50" s="102"/>
      <c r="C50" s="102"/>
      <c r="D50" s="7"/>
      <c r="E50" s="5"/>
      <c r="F50" s="128" t="s">
        <v>123</v>
      </c>
      <c r="G50" s="103"/>
      <c r="H50" s="104"/>
      <c r="J50" t="s">
        <v>116</v>
      </c>
      <c r="K50" s="186">
        <f>SUM(K19:K48)</f>
        <v>1622.6480526855055</v>
      </c>
    </row>
    <row r="51" spans="2:11" ht="12.75">
      <c r="B51" s="102"/>
      <c r="C51" s="102"/>
      <c r="D51" s="7"/>
      <c r="E51" s="5"/>
      <c r="F51" s="128" t="s">
        <v>178</v>
      </c>
      <c r="G51" s="103"/>
      <c r="H51" s="104"/>
      <c r="J51" t="s">
        <v>116</v>
      </c>
      <c r="K51" s="187">
        <f>K50/VerhKjPerKg</f>
        <v>8208.425284060564</v>
      </c>
    </row>
    <row r="52" spans="2:11" ht="12.75">
      <c r="B52" s="102"/>
      <c r="C52" s="102"/>
      <c r="D52" s="7"/>
      <c r="E52" s="5"/>
      <c r="F52" s="128"/>
      <c r="G52" s="103"/>
      <c r="H52" s="104"/>
      <c r="J52" t="s">
        <v>121</v>
      </c>
      <c r="K52" s="186">
        <f>K51/4.19</f>
        <v>1959.0513804440486</v>
      </c>
    </row>
    <row r="53" spans="2:11" ht="12.75">
      <c r="B53" s="102"/>
      <c r="C53" s="102"/>
      <c r="D53" s="7"/>
      <c r="E53" s="5"/>
      <c r="F53" s="128" t="s">
        <v>179</v>
      </c>
      <c r="G53" s="103"/>
      <c r="H53" s="104"/>
      <c r="J53" s="192">
        <f>IF(C19&gt;0,K50*1000/MAX(G19:G48)/60,0)</f>
        <v>203.15585807953292</v>
      </c>
      <c r="K53" t="s">
        <v>120</v>
      </c>
    </row>
    <row r="54" spans="2:10" ht="12.75">
      <c r="B54" s="178" t="s">
        <v>180</v>
      </c>
      <c r="C54" s="179"/>
      <c r="D54" s="179"/>
      <c r="E54" s="180"/>
      <c r="F54" s="184"/>
      <c r="G54" s="104"/>
      <c r="H54" s="104"/>
      <c r="J54" s="126">
        <f>J53/MaxVermogen</f>
        <v>0.9591030240851616</v>
      </c>
    </row>
    <row r="55" spans="2:12" ht="12.75">
      <c r="B55" s="174">
        <f>+MAX(B19:B48)</f>
        <v>21.5</v>
      </c>
      <c r="C55" s="182"/>
      <c r="D55" s="175">
        <f>IF(C19&gt;0,SUMPRODUCT(C19:C48,D19:D48)/MAX(B19:B48),0)</f>
        <v>0.07511627906976745</v>
      </c>
      <c r="E55" s="176">
        <f>IF(C19&gt;0,IF(VLOOKUP(D55,VlookupSnelheid,2)&gt;VmaxKlim,VmaxKlim,VLOOKUP(D55,VlookupSnelheid,2)),0)</f>
        <v>10</v>
      </c>
      <c r="F55" s="177"/>
      <c r="G55" s="185">
        <f>IF(C19&gt;0,B55/E55*60,0)</f>
        <v>129</v>
      </c>
      <c r="H55" s="170"/>
      <c r="I55" s="171"/>
      <c r="J55" s="172">
        <f>(Opp*Rho*(Gpers/75)^0.7*0.5*(E55/3.6)*(Vwind+E55/3.6)^2+(Cr+D55)*9.81*Gtot*E55/3.6)/Cf</f>
        <v>207.8811814510756</v>
      </c>
      <c r="K55" s="253" t="s">
        <v>120</v>
      </c>
      <c r="L55" s="173"/>
    </row>
    <row r="57" ht="13.5" thickBot="1"/>
    <row r="58" spans="2:14" ht="57.75">
      <c r="B58" s="203" t="s">
        <v>104</v>
      </c>
      <c r="C58" s="204" t="s">
        <v>105</v>
      </c>
      <c r="D58" s="204" t="s">
        <v>69</v>
      </c>
      <c r="E58" s="204" t="s">
        <v>175</v>
      </c>
      <c r="F58" s="204" t="s">
        <v>176</v>
      </c>
      <c r="G58" s="204" t="s">
        <v>177</v>
      </c>
      <c r="H58" s="204" t="s">
        <v>197</v>
      </c>
      <c r="I58" s="204" t="s">
        <v>198</v>
      </c>
      <c r="J58" s="204" t="s">
        <v>199</v>
      </c>
      <c r="K58" s="204" t="s">
        <v>200</v>
      </c>
      <c r="L58" s="204" t="s">
        <v>201</v>
      </c>
      <c r="M58" s="204" t="s">
        <v>202</v>
      </c>
      <c r="N58" s="205" t="s">
        <v>204</v>
      </c>
    </row>
    <row r="59" spans="2:14" ht="13.5" thickBot="1">
      <c r="B59" s="242" t="s">
        <v>66</v>
      </c>
      <c r="C59" s="243" t="s">
        <v>66</v>
      </c>
      <c r="D59" s="243" t="s">
        <v>66</v>
      </c>
      <c r="E59" s="243" t="s">
        <v>66</v>
      </c>
      <c r="F59" s="243" t="s">
        <v>66</v>
      </c>
      <c r="G59" s="243" t="s">
        <v>66</v>
      </c>
      <c r="H59" s="243" t="s">
        <v>66</v>
      </c>
      <c r="I59" s="243" t="s">
        <v>66</v>
      </c>
      <c r="J59" s="243" t="s">
        <v>66</v>
      </c>
      <c r="K59" s="243" t="s">
        <v>66</v>
      </c>
      <c r="L59" s="243" t="s">
        <v>66</v>
      </c>
      <c r="M59" s="243" t="s">
        <v>66</v>
      </c>
      <c r="N59" s="244" t="s">
        <v>66</v>
      </c>
    </row>
    <row r="60" spans="1:14" ht="12.75">
      <c r="A60" s="102">
        <v>1</v>
      </c>
      <c r="B60" s="245">
        <v>0.035</v>
      </c>
      <c r="C60" s="237">
        <v>0.045</v>
      </c>
      <c r="D60" s="237">
        <v>-0.05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8"/>
    </row>
    <row r="61" spans="1:14" ht="12.75">
      <c r="A61" s="102">
        <v>2</v>
      </c>
      <c r="B61" s="246">
        <v>0.025</v>
      </c>
      <c r="C61" s="206">
        <v>0.045</v>
      </c>
      <c r="D61" s="206">
        <v>0.0001</v>
      </c>
      <c r="E61" s="206"/>
      <c r="F61" s="206"/>
      <c r="G61" s="206"/>
      <c r="H61" s="206"/>
      <c r="I61" s="206"/>
      <c r="J61" s="206"/>
      <c r="K61" s="206"/>
      <c r="L61" s="206"/>
      <c r="M61" s="206"/>
      <c r="N61" s="207"/>
    </row>
    <row r="62" spans="1:14" ht="12.75">
      <c r="A62" s="102">
        <v>3</v>
      </c>
      <c r="B62" s="246">
        <v>0.05</v>
      </c>
      <c r="C62" s="206">
        <v>0.095</v>
      </c>
      <c r="D62" s="206">
        <v>0.035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7"/>
    </row>
    <row r="63" spans="1:14" ht="12.75">
      <c r="A63" s="102">
        <v>4</v>
      </c>
      <c r="B63" s="247">
        <v>0.055</v>
      </c>
      <c r="C63" s="206">
        <v>0.08</v>
      </c>
      <c r="D63" s="206">
        <v>0.06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7"/>
    </row>
    <row r="64" spans="1:14" ht="12.75">
      <c r="A64" s="102">
        <v>5</v>
      </c>
      <c r="B64" s="247">
        <v>0.05</v>
      </c>
      <c r="C64" s="206">
        <v>0.075</v>
      </c>
      <c r="D64" s="206">
        <v>0.035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7"/>
    </row>
    <row r="65" spans="1:14" ht="12.75">
      <c r="A65" s="102">
        <v>6</v>
      </c>
      <c r="B65" s="247">
        <v>0.045</v>
      </c>
      <c r="C65" s="206">
        <v>0.045</v>
      </c>
      <c r="D65" s="206">
        <v>0.045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7"/>
    </row>
    <row r="66" spans="1:14" ht="12.75">
      <c r="A66" s="102">
        <v>7</v>
      </c>
      <c r="B66" s="247">
        <v>0.085</v>
      </c>
      <c r="C66" s="206">
        <v>0.065</v>
      </c>
      <c r="D66" s="206">
        <v>0.055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7"/>
    </row>
    <row r="67" spans="1:14" ht="12.75">
      <c r="A67" s="102">
        <v>8</v>
      </c>
      <c r="B67" s="247">
        <v>0.1</v>
      </c>
      <c r="C67" s="206">
        <v>0.07</v>
      </c>
      <c r="D67" s="206">
        <v>0.06</v>
      </c>
      <c r="E67" s="206"/>
      <c r="F67" s="206"/>
      <c r="G67" s="206"/>
      <c r="H67" s="206"/>
      <c r="I67" s="206"/>
      <c r="J67" s="206"/>
      <c r="K67" s="206"/>
      <c r="L67" s="206"/>
      <c r="M67" s="206"/>
      <c r="N67" s="207"/>
    </row>
    <row r="68" spans="1:14" ht="12.75">
      <c r="A68" s="102">
        <v>9</v>
      </c>
      <c r="B68" s="247">
        <v>0.105</v>
      </c>
      <c r="C68" s="206">
        <v>0.06</v>
      </c>
      <c r="D68" s="206">
        <v>0.05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7"/>
    </row>
    <row r="69" spans="1:14" ht="12.75">
      <c r="A69" s="102">
        <v>10</v>
      </c>
      <c r="B69" s="247">
        <v>0.095</v>
      </c>
      <c r="C69" s="206">
        <v>0.065</v>
      </c>
      <c r="D69" s="206">
        <v>0.055</v>
      </c>
      <c r="E69" s="206"/>
      <c r="F69" s="206"/>
      <c r="G69" s="206"/>
      <c r="H69" s="206"/>
      <c r="I69" s="206"/>
      <c r="J69" s="206"/>
      <c r="K69" s="206"/>
      <c r="L69" s="206"/>
      <c r="M69" s="206"/>
      <c r="N69" s="207"/>
    </row>
    <row r="70" spans="1:14" ht="12.75">
      <c r="A70" s="102">
        <v>11</v>
      </c>
      <c r="B70" s="246">
        <v>0.095</v>
      </c>
      <c r="C70" s="206">
        <v>0.095</v>
      </c>
      <c r="D70" s="206">
        <v>0.055</v>
      </c>
      <c r="E70" s="206"/>
      <c r="F70" s="206"/>
      <c r="G70" s="206"/>
      <c r="H70" s="206"/>
      <c r="I70" s="206"/>
      <c r="J70" s="206"/>
      <c r="K70" s="206"/>
      <c r="L70" s="206"/>
      <c r="M70" s="206"/>
      <c r="N70" s="207"/>
    </row>
    <row r="71" spans="1:14" ht="12.75">
      <c r="A71" s="102">
        <v>12</v>
      </c>
      <c r="B71" s="246">
        <v>0.1</v>
      </c>
      <c r="C71" s="206">
        <v>0.095</v>
      </c>
      <c r="D71" s="206">
        <v>0.06</v>
      </c>
      <c r="E71" s="206"/>
      <c r="F71" s="206"/>
      <c r="G71" s="206"/>
      <c r="H71" s="206"/>
      <c r="I71" s="206"/>
      <c r="J71" s="206"/>
      <c r="K71" s="206"/>
      <c r="L71" s="206"/>
      <c r="M71" s="206"/>
      <c r="N71" s="207"/>
    </row>
    <row r="72" spans="1:14" ht="12.75">
      <c r="A72" s="102">
        <v>13</v>
      </c>
      <c r="B72" s="246">
        <v>0.09</v>
      </c>
      <c r="C72" s="206">
        <v>0.095</v>
      </c>
      <c r="D72" s="206">
        <v>0.04</v>
      </c>
      <c r="E72" s="206"/>
      <c r="F72" s="206"/>
      <c r="G72" s="206"/>
      <c r="H72" s="206"/>
      <c r="I72" s="206"/>
      <c r="J72" s="206"/>
      <c r="K72" s="206"/>
      <c r="L72" s="206"/>
      <c r="M72" s="206"/>
      <c r="N72" s="207"/>
    </row>
    <row r="73" spans="1:14" ht="12.75">
      <c r="A73" s="102">
        <v>14</v>
      </c>
      <c r="B73" s="246">
        <v>0.09</v>
      </c>
      <c r="C73" s="206">
        <v>0.095</v>
      </c>
      <c r="D73" s="206">
        <v>0.03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7"/>
    </row>
    <row r="74" spans="1:14" ht="12.75">
      <c r="A74" s="102">
        <v>15</v>
      </c>
      <c r="B74" s="246">
        <v>0.085</v>
      </c>
      <c r="C74" s="206">
        <v>0.06</v>
      </c>
      <c r="D74" s="206">
        <v>0.025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7"/>
    </row>
    <row r="75" spans="1:14" ht="12.75">
      <c r="A75" s="102">
        <v>16</v>
      </c>
      <c r="B75" s="247">
        <v>0.075</v>
      </c>
      <c r="C75" s="206">
        <v>0.075</v>
      </c>
      <c r="D75" s="206">
        <v>0.03</v>
      </c>
      <c r="E75" s="206"/>
      <c r="F75" s="206"/>
      <c r="G75" s="206"/>
      <c r="H75" s="206"/>
      <c r="I75" s="206"/>
      <c r="J75" s="206"/>
      <c r="K75" s="206"/>
      <c r="L75" s="206"/>
      <c r="M75" s="206"/>
      <c r="N75" s="207"/>
    </row>
    <row r="76" spans="1:14" ht="12.75">
      <c r="A76" s="102">
        <v>17</v>
      </c>
      <c r="B76" s="247">
        <v>0.06</v>
      </c>
      <c r="C76" s="206">
        <v>0.07</v>
      </c>
      <c r="D76" s="206">
        <v>0.045</v>
      </c>
      <c r="E76" s="206"/>
      <c r="F76" s="206"/>
      <c r="G76" s="206"/>
      <c r="H76" s="206"/>
      <c r="I76" s="206"/>
      <c r="J76" s="206"/>
      <c r="K76" s="206"/>
      <c r="L76" s="206"/>
      <c r="M76" s="206"/>
      <c r="N76" s="207"/>
    </row>
    <row r="77" spans="1:14" ht="12.75">
      <c r="A77" s="102">
        <v>18</v>
      </c>
      <c r="B77" s="247">
        <v>0.08</v>
      </c>
      <c r="C77" s="206">
        <v>0.065</v>
      </c>
      <c r="D77" s="206">
        <v>0.015</v>
      </c>
      <c r="E77" s="206"/>
      <c r="F77" s="206"/>
      <c r="G77" s="206"/>
      <c r="H77" s="206"/>
      <c r="I77" s="206"/>
      <c r="J77" s="206"/>
      <c r="K77" s="206"/>
      <c r="L77" s="206"/>
      <c r="M77" s="206"/>
      <c r="N77" s="207"/>
    </row>
    <row r="78" spans="1:14" ht="12.75">
      <c r="A78" s="102">
        <v>19</v>
      </c>
      <c r="B78" s="247">
        <v>0.07</v>
      </c>
      <c r="C78" s="206">
        <v>0.095</v>
      </c>
      <c r="D78" s="206">
        <v>0.005</v>
      </c>
      <c r="E78" s="206"/>
      <c r="F78" s="206"/>
      <c r="G78" s="206"/>
      <c r="H78" s="206"/>
      <c r="I78" s="206"/>
      <c r="J78" s="206"/>
      <c r="K78" s="206"/>
      <c r="L78" s="206"/>
      <c r="M78" s="206"/>
      <c r="N78" s="207"/>
    </row>
    <row r="79" spans="1:14" ht="12.75">
      <c r="A79" s="102">
        <v>20</v>
      </c>
      <c r="B79" s="247">
        <v>0.08</v>
      </c>
      <c r="C79" s="206">
        <v>0.105</v>
      </c>
      <c r="D79" s="206">
        <v>0.02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7"/>
    </row>
    <row r="80" spans="1:14" ht="12.75">
      <c r="A80" s="102">
        <v>21</v>
      </c>
      <c r="B80" s="247">
        <v>0.09</v>
      </c>
      <c r="C80" s="206">
        <v>0.075</v>
      </c>
      <c r="D80" s="206">
        <v>0.07</v>
      </c>
      <c r="E80" s="206"/>
      <c r="F80" s="206"/>
      <c r="G80" s="206"/>
      <c r="H80" s="206"/>
      <c r="I80" s="206"/>
      <c r="J80" s="206"/>
      <c r="K80" s="206"/>
      <c r="L80" s="206"/>
      <c r="M80" s="206"/>
      <c r="N80" s="207"/>
    </row>
    <row r="81" spans="1:14" ht="12.75">
      <c r="A81" s="102">
        <v>22</v>
      </c>
      <c r="B81" s="247">
        <v>0.11</v>
      </c>
      <c r="C81" s="206">
        <v>0.085</v>
      </c>
      <c r="D81" s="206">
        <v>0.07</v>
      </c>
      <c r="E81" s="206"/>
      <c r="F81" s="206"/>
      <c r="G81" s="206"/>
      <c r="H81" s="206"/>
      <c r="I81" s="206"/>
      <c r="J81" s="206"/>
      <c r="K81" s="206"/>
      <c r="L81" s="206"/>
      <c r="M81" s="206"/>
      <c r="N81" s="207"/>
    </row>
    <row r="82" spans="1:14" ht="12.75">
      <c r="A82" s="102">
        <v>23</v>
      </c>
      <c r="B82" s="183"/>
      <c r="C82" s="227"/>
      <c r="D82" s="206">
        <v>0.075</v>
      </c>
      <c r="E82" s="206"/>
      <c r="F82" s="206"/>
      <c r="G82" s="206"/>
      <c r="H82" s="206"/>
      <c r="I82" s="206"/>
      <c r="J82" s="206"/>
      <c r="K82" s="206"/>
      <c r="L82" s="206"/>
      <c r="M82" s="206"/>
      <c r="N82" s="207"/>
    </row>
    <row r="83" spans="1:14" ht="12.75">
      <c r="A83" s="102">
        <v>24</v>
      </c>
      <c r="B83" s="183"/>
      <c r="C83" s="227"/>
      <c r="D83" s="206">
        <v>0.075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7"/>
    </row>
    <row r="84" spans="1:14" ht="12.75">
      <c r="A84" s="102">
        <v>25</v>
      </c>
      <c r="B84" s="183"/>
      <c r="C84" s="227"/>
      <c r="D84" s="206">
        <v>0.085</v>
      </c>
      <c r="E84" s="206"/>
      <c r="F84" s="206"/>
      <c r="G84" s="206"/>
      <c r="H84" s="206"/>
      <c r="I84" s="206"/>
      <c r="J84" s="206"/>
      <c r="K84" s="206"/>
      <c r="L84" s="206"/>
      <c r="M84" s="206"/>
      <c r="N84" s="207"/>
    </row>
    <row r="85" spans="1:14" ht="12.75">
      <c r="A85" s="102">
        <v>26</v>
      </c>
      <c r="B85" s="183"/>
      <c r="C85" s="227"/>
      <c r="D85" s="206">
        <v>0.095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7"/>
    </row>
    <row r="86" spans="1:14" ht="12.75">
      <c r="A86" s="102">
        <v>27</v>
      </c>
      <c r="B86" s="183"/>
      <c r="C86" s="227"/>
      <c r="D86" s="227"/>
      <c r="E86" s="206"/>
      <c r="F86" s="206"/>
      <c r="G86" s="206"/>
      <c r="H86" s="206"/>
      <c r="I86" s="206"/>
      <c r="J86" s="206"/>
      <c r="K86" s="206"/>
      <c r="L86" s="206"/>
      <c r="M86" s="206"/>
      <c r="N86" s="207"/>
    </row>
    <row r="87" spans="1:14" ht="12.75">
      <c r="A87" s="102">
        <v>28</v>
      </c>
      <c r="B87" s="183"/>
      <c r="C87" s="227"/>
      <c r="D87" s="227"/>
      <c r="E87" s="206"/>
      <c r="F87" s="206"/>
      <c r="G87" s="206"/>
      <c r="H87" s="206"/>
      <c r="I87" s="206"/>
      <c r="J87" s="206"/>
      <c r="K87" s="206"/>
      <c r="L87" s="206"/>
      <c r="M87" s="206"/>
      <c r="N87" s="207"/>
    </row>
    <row r="88" spans="1:14" ht="12.75">
      <c r="A88" s="102">
        <v>29</v>
      </c>
      <c r="B88" s="183"/>
      <c r="C88" s="227"/>
      <c r="D88" s="227"/>
      <c r="E88" s="206"/>
      <c r="F88" s="206"/>
      <c r="G88" s="206"/>
      <c r="H88" s="206"/>
      <c r="I88" s="206"/>
      <c r="J88" s="206"/>
      <c r="K88" s="206"/>
      <c r="L88" s="206"/>
      <c r="M88" s="206"/>
      <c r="N88" s="207"/>
    </row>
    <row r="89" spans="1:14" ht="13.5" thickBot="1">
      <c r="A89" s="102">
        <v>30</v>
      </c>
      <c r="B89" s="239"/>
      <c r="C89" s="228"/>
      <c r="D89" s="228"/>
      <c r="E89" s="240"/>
      <c r="F89" s="240"/>
      <c r="G89" s="240"/>
      <c r="H89" s="240"/>
      <c r="I89" s="240"/>
      <c r="J89" s="240"/>
      <c r="K89" s="240"/>
      <c r="L89" s="240"/>
      <c r="M89" s="240"/>
      <c r="N89" s="241"/>
    </row>
    <row r="90" spans="1:14" ht="13.5" thickBot="1">
      <c r="A90" s="137" t="s">
        <v>203</v>
      </c>
      <c r="B90" s="235">
        <v>0.5</v>
      </c>
      <c r="C90" s="229">
        <v>0.2</v>
      </c>
      <c r="D90" s="229">
        <v>1</v>
      </c>
      <c r="E90" s="229"/>
      <c r="F90" s="229"/>
      <c r="G90" s="229"/>
      <c r="H90" s="229"/>
      <c r="I90" s="229"/>
      <c r="J90" s="229"/>
      <c r="K90" s="229"/>
      <c r="L90" s="229"/>
      <c r="M90" s="229"/>
      <c r="N90" s="236"/>
    </row>
  </sheetData>
  <sheetProtection sheet="1" objects="1" scenarios="1"/>
  <mergeCells count="1">
    <mergeCell ref="B17:L17"/>
  </mergeCells>
  <conditionalFormatting sqref="I55 I19:I49">
    <cfRule type="cellIs" priority="1" dxfId="3" operator="between" stopIfTrue="1">
      <formula>Fmin</formula>
      <formula>Fmin-speling</formula>
    </cfRule>
    <cfRule type="cellIs" priority="2" dxfId="0" operator="lessThanOrEqual" stopIfTrue="1">
      <formula>Fmin-speling</formula>
    </cfRule>
  </conditionalFormatting>
  <conditionalFormatting sqref="L19:L48">
    <cfRule type="expression" priority="3" dxfId="5" stopIfTrue="1">
      <formula>C19=0</formula>
    </cfRule>
  </conditionalFormatting>
  <dataValidations count="1">
    <dataValidation type="list" allowBlank="1" showInputMessage="1" showErrorMessage="1" sqref="B17:C17">
      <formula1>LijstCols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workbookViewId="0" topLeftCell="A1">
      <selection activeCell="J39" sqref="J39"/>
    </sheetView>
  </sheetViews>
  <sheetFormatPr defaultColWidth="9.140625" defaultRowHeight="12.75"/>
  <cols>
    <col min="1" max="1" width="2.7109375" style="0" customWidth="1"/>
    <col min="2" max="16384" width="8.8515625" style="0" customWidth="1"/>
  </cols>
  <sheetData>
    <row r="1" spans="1:2" ht="15.75">
      <c r="A1" s="1"/>
      <c r="B1" s="135" t="s">
        <v>42</v>
      </c>
    </row>
    <row r="3" ht="12.75">
      <c r="B3" t="s">
        <v>1</v>
      </c>
    </row>
    <row r="4" ht="12.75">
      <c r="B4" t="s">
        <v>4</v>
      </c>
    </row>
    <row r="5" ht="12.75">
      <c r="B5" t="s">
        <v>103</v>
      </c>
    </row>
    <row r="6" ht="12.75">
      <c r="B6" t="s">
        <v>62</v>
      </c>
    </row>
    <row r="7" ht="12.75">
      <c r="B7" t="s">
        <v>43</v>
      </c>
    </row>
    <row r="8" spans="2:12" ht="12.75">
      <c r="B8" t="s">
        <v>144</v>
      </c>
      <c r="K8" s="163" t="s">
        <v>174</v>
      </c>
      <c r="L8" s="226">
        <v>0.95</v>
      </c>
    </row>
    <row r="10" ht="12.75">
      <c r="B10" t="s">
        <v>145</v>
      </c>
    </row>
    <row r="12" ht="12.75">
      <c r="B12" t="s">
        <v>146</v>
      </c>
    </row>
    <row r="13" ht="12.75">
      <c r="B13" t="s">
        <v>0</v>
      </c>
    </row>
    <row r="15" spans="2:14" ht="12.75">
      <c r="B15" s="1" t="s">
        <v>2</v>
      </c>
      <c r="N15" s="1"/>
    </row>
    <row r="16" ht="12.75">
      <c r="B16" t="s">
        <v>3</v>
      </c>
    </row>
    <row r="17" ht="12.75">
      <c r="B17" t="s">
        <v>147</v>
      </c>
    </row>
    <row r="18" ht="12.75">
      <c r="B18" t="s">
        <v>196</v>
      </c>
    </row>
    <row r="19" ht="12.75">
      <c r="B19" t="s">
        <v>5</v>
      </c>
    </row>
    <row r="20" spans="2:13" ht="12.75">
      <c r="B20" t="s">
        <v>163</v>
      </c>
      <c r="K20" s="158" t="s">
        <v>148</v>
      </c>
      <c r="L20" s="226">
        <v>0.4</v>
      </c>
      <c r="M20" s="129" t="s">
        <v>149</v>
      </c>
    </row>
    <row r="21" spans="2:13" ht="12.75">
      <c r="B21" t="s">
        <v>150</v>
      </c>
      <c r="K21" s="158" t="s">
        <v>151</v>
      </c>
      <c r="L21" s="226">
        <v>1.2</v>
      </c>
      <c r="M21" s="129" t="s">
        <v>152</v>
      </c>
    </row>
    <row r="22" ht="12.75">
      <c r="B22" t="s">
        <v>153</v>
      </c>
    </row>
    <row r="23" ht="12.75">
      <c r="B23" t="s">
        <v>154</v>
      </c>
    </row>
    <row r="24" ht="12.75">
      <c r="B24" t="s">
        <v>155</v>
      </c>
    </row>
    <row r="25" ht="12.75">
      <c r="B25" t="s">
        <v>164</v>
      </c>
    </row>
    <row r="27" ht="12.75">
      <c r="B27" s="1" t="s">
        <v>57</v>
      </c>
    </row>
    <row r="28" ht="12.75">
      <c r="B28" s="3" t="s">
        <v>165</v>
      </c>
    </row>
    <row r="29" ht="12.75">
      <c r="B29" t="s">
        <v>61</v>
      </c>
    </row>
    <row r="30" ht="12.75">
      <c r="B30" t="s">
        <v>156</v>
      </c>
    </row>
    <row r="31" spans="2:23" ht="12.75">
      <c r="B31" t="s">
        <v>5</v>
      </c>
      <c r="W31" s="129"/>
    </row>
    <row r="32" spans="2:23" ht="12.75">
      <c r="B32" t="s">
        <v>157</v>
      </c>
      <c r="K32" s="158" t="s">
        <v>158</v>
      </c>
      <c r="L32" s="226">
        <v>0.007</v>
      </c>
      <c r="V32" s="8"/>
      <c r="W32" s="129"/>
    </row>
    <row r="33" spans="2:23" ht="12.75">
      <c r="B33" t="s">
        <v>159</v>
      </c>
      <c r="V33" s="8"/>
      <c r="W33" s="129"/>
    </row>
    <row r="34" spans="2:23" ht="12.75">
      <c r="B34" t="s">
        <v>160</v>
      </c>
      <c r="V34" s="8"/>
      <c r="W34" s="129"/>
    </row>
    <row r="35" spans="2:23" ht="12.75">
      <c r="B35" t="s">
        <v>166</v>
      </c>
      <c r="V35" s="8"/>
      <c r="W35" s="129"/>
    </row>
    <row r="36" spans="2:23" ht="12.75">
      <c r="B36" t="s">
        <v>167</v>
      </c>
      <c r="V36" s="8"/>
      <c r="W36" s="129"/>
    </row>
    <row r="38" ht="12.75">
      <c r="B38" s="1" t="s">
        <v>58</v>
      </c>
    </row>
    <row r="39" ht="12.75">
      <c r="B39" t="s">
        <v>59</v>
      </c>
    </row>
    <row r="40" ht="12.75">
      <c r="B40" t="s">
        <v>161</v>
      </c>
    </row>
    <row r="41" ht="12.75">
      <c r="B41" t="s">
        <v>60</v>
      </c>
    </row>
    <row r="42" ht="12.75">
      <c r="B42" t="s">
        <v>61</v>
      </c>
    </row>
    <row r="43" ht="12.75">
      <c r="B43" t="s">
        <v>162</v>
      </c>
    </row>
    <row r="44" spans="2:11" ht="12.75">
      <c r="B44" t="s">
        <v>168</v>
      </c>
      <c r="J44" s="8"/>
      <c r="K44" s="129"/>
    </row>
    <row r="45" ht="12.75">
      <c r="B45" t="s">
        <v>169</v>
      </c>
    </row>
    <row r="48" ht="13.5" thickBot="1">
      <c r="B48" s="1" t="s">
        <v>125</v>
      </c>
    </row>
    <row r="49" spans="2:13" ht="12.75">
      <c r="B49" t="s">
        <v>140</v>
      </c>
      <c r="J49" s="146" t="s">
        <v>135</v>
      </c>
      <c r="K49" s="147"/>
      <c r="L49" s="147"/>
      <c r="M49" s="148" t="s">
        <v>128</v>
      </c>
    </row>
    <row r="50" spans="2:13" ht="12.75">
      <c r="B50" t="s">
        <v>141</v>
      </c>
      <c r="J50" s="149" t="s">
        <v>127</v>
      </c>
      <c r="K50" s="150" t="s">
        <v>118</v>
      </c>
      <c r="L50" s="150"/>
      <c r="M50" s="151" t="s">
        <v>118</v>
      </c>
    </row>
    <row r="51" spans="2:13" ht="12.75">
      <c r="B51" t="s">
        <v>136</v>
      </c>
      <c r="J51" s="149">
        <v>8</v>
      </c>
      <c r="K51" s="150">
        <v>18</v>
      </c>
      <c r="L51" s="150"/>
      <c r="M51" s="152">
        <f aca="true" t="shared" si="0" ref="M51:M56">10+0.7*J51+0.022*J51^2</f>
        <v>17.008</v>
      </c>
    </row>
    <row r="52" spans="2:13" ht="12.75">
      <c r="B52" t="s">
        <v>129</v>
      </c>
      <c r="J52" s="149">
        <v>17</v>
      </c>
      <c r="K52" s="150">
        <v>26</v>
      </c>
      <c r="L52" s="150"/>
      <c r="M52" s="152">
        <f t="shared" si="0"/>
        <v>28.258</v>
      </c>
    </row>
    <row r="53" spans="2:13" ht="12.75">
      <c r="B53" s="142" t="s">
        <v>130</v>
      </c>
      <c r="J53" s="149">
        <v>20</v>
      </c>
      <c r="K53" s="150">
        <v>34</v>
      </c>
      <c r="L53" s="150"/>
      <c r="M53" s="152">
        <f t="shared" si="0"/>
        <v>32.8</v>
      </c>
    </row>
    <row r="54" spans="2:13" ht="12.75">
      <c r="B54" s="142" t="s">
        <v>131</v>
      </c>
      <c r="J54" s="149">
        <v>24</v>
      </c>
      <c r="K54" s="150">
        <v>42</v>
      </c>
      <c r="L54" s="150"/>
      <c r="M54" s="152">
        <f t="shared" si="0"/>
        <v>39.471999999999994</v>
      </c>
    </row>
    <row r="55" spans="2:13" ht="12.75">
      <c r="B55" s="129" t="s">
        <v>126</v>
      </c>
      <c r="J55" s="149">
        <v>28</v>
      </c>
      <c r="K55" s="150">
        <v>50</v>
      </c>
      <c r="L55" s="150"/>
      <c r="M55" s="152">
        <f t="shared" si="0"/>
        <v>46.848</v>
      </c>
    </row>
    <row r="56" spans="10:13" ht="12.75">
      <c r="J56" s="149">
        <v>37</v>
      </c>
      <c r="K56" s="150">
        <v>67</v>
      </c>
      <c r="L56" s="150"/>
      <c r="M56" s="152">
        <f t="shared" si="0"/>
        <v>66.018</v>
      </c>
    </row>
    <row r="57" spans="10:13" ht="13.5" thickBot="1">
      <c r="J57" s="153">
        <v>45</v>
      </c>
      <c r="K57" s="154">
        <v>84</v>
      </c>
      <c r="L57" s="154"/>
      <c r="M57" s="155">
        <f>10+0.7*J57+0.022*J57^2</f>
        <v>86.05</v>
      </c>
    </row>
    <row r="58" ht="12.75">
      <c r="B58" s="137" t="s">
        <v>85</v>
      </c>
    </row>
  </sheetData>
  <sheetProtection sheet="1" objects="1" scenarios="1"/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fiets.xls</dc:title>
  <dc:subject>wielrengrafiek</dc:subject>
  <dc:creator>Loet Janssen</dc:creator>
  <cp:keywords/>
  <dc:description/>
  <cp:lastModifiedBy>Lex Reurings</cp:lastModifiedBy>
  <cp:lastPrinted>2006-11-24T21:13:29Z</cp:lastPrinted>
  <dcterms:created xsi:type="dcterms:W3CDTF">2001-08-04T08:47:13Z</dcterms:created>
  <dcterms:modified xsi:type="dcterms:W3CDTF">2006-11-27T20:47:28Z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